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720" windowWidth="19440" windowHeight="11355" firstSheet="1" activeTab="1"/>
  </bookViews>
  <sheets>
    <sheet name="Титульный лист" sheetId="1" r:id="rId1"/>
    <sheet name="Часть 1 Фин.обеспеч." sheetId="2" r:id="rId2"/>
    <sheet name="Часть 2 Показат. объема" sheetId="3" r:id="rId3"/>
    <sheet name="Часть 3 Эффективность" sheetId="4" r:id="rId4"/>
    <sheet name="Часть 4 Показатели качества" sheetId="5" r:id="rId5"/>
    <sheet name="Лист1" sheetId="6" r:id="rId6"/>
  </sheets>
  <calcPr calcId="144525"/>
</workbook>
</file>

<file path=xl/calcChain.xml><?xml version="1.0" encoding="utf-8"?>
<calcChain xmlns="http://schemas.openxmlformats.org/spreadsheetml/2006/main">
  <c r="B8" i="2" l="1"/>
  <c r="G30" i="5" l="1"/>
  <c r="G27" i="5" l="1"/>
  <c r="G24" i="5"/>
  <c r="J27" i="3" l="1"/>
  <c r="J22" i="3"/>
  <c r="J24" i="3"/>
  <c r="J17" i="3"/>
  <c r="J16" i="3"/>
  <c r="J20" i="3"/>
  <c r="J19" i="3"/>
  <c r="J18" i="3"/>
  <c r="J26" i="3"/>
  <c r="J21" i="3"/>
  <c r="J25" i="3"/>
  <c r="J13" i="3"/>
  <c r="J12" i="3"/>
  <c r="J15" i="3"/>
  <c r="J14" i="3"/>
  <c r="F27" i="5"/>
  <c r="H27" i="5" s="1"/>
  <c r="F24" i="5"/>
  <c r="H24" i="5" s="1"/>
  <c r="H29" i="5"/>
  <c r="H28" i="5"/>
  <c r="H26" i="5"/>
  <c r="H25" i="5"/>
  <c r="G24" i="3"/>
  <c r="G17" i="3"/>
  <c r="G16" i="3"/>
  <c r="G20" i="3"/>
  <c r="G19" i="3"/>
  <c r="G18" i="3"/>
  <c r="G26" i="3"/>
  <c r="G21" i="3"/>
  <c r="G25" i="3"/>
  <c r="G13" i="3"/>
  <c r="G12" i="3"/>
  <c r="G15" i="3"/>
  <c r="I15" i="3" s="1"/>
  <c r="G14" i="3"/>
  <c r="I14" i="3" s="1"/>
  <c r="G11" i="3"/>
  <c r="G10" i="3"/>
  <c r="G9" i="3"/>
  <c r="G8" i="3"/>
  <c r="G27" i="3" l="1"/>
  <c r="I14" i="2"/>
  <c r="I9" i="2"/>
  <c r="I10" i="2"/>
  <c r="I11" i="2"/>
  <c r="I12" i="2"/>
  <c r="I13" i="2"/>
  <c r="I8" i="2"/>
  <c r="I16" i="2" l="1"/>
  <c r="G55" i="5"/>
  <c r="G54" i="5"/>
  <c r="G52" i="5"/>
  <c r="G48" i="5"/>
  <c r="G45" i="5"/>
  <c r="G42" i="5"/>
  <c r="G39" i="5"/>
  <c r="G36" i="5"/>
  <c r="G33" i="5"/>
  <c r="G21" i="5"/>
  <c r="G18" i="5"/>
  <c r="F18" i="5"/>
  <c r="G15" i="5"/>
  <c r="F15" i="5"/>
  <c r="G12" i="5"/>
  <c r="F12" i="5"/>
  <c r="G9" i="5"/>
  <c r="F9" i="5"/>
  <c r="G6" i="5"/>
  <c r="F6" i="5"/>
  <c r="F55" i="5" l="1"/>
  <c r="F54" i="5" l="1"/>
  <c r="F52" i="5"/>
  <c r="F48" i="5"/>
  <c r="F45" i="5"/>
  <c r="F42" i="5"/>
  <c r="F39" i="5"/>
  <c r="F36" i="5"/>
  <c r="F33" i="5"/>
  <c r="F21" i="5"/>
  <c r="F30" i="5"/>
  <c r="I22" i="3" l="1"/>
  <c r="G57" i="5"/>
  <c r="H57" i="5" s="1"/>
  <c r="F57" i="5"/>
  <c r="H50" i="5"/>
  <c r="H49" i="5"/>
  <c r="H48" i="5"/>
  <c r="H56" i="5" l="1"/>
  <c r="H55" i="5"/>
  <c r="H54" i="5"/>
  <c r="H52" i="5"/>
  <c r="H53" i="5"/>
  <c r="I24" i="3"/>
  <c r="I21" i="3"/>
  <c r="I20" i="3"/>
  <c r="E15" i="2"/>
  <c r="D15" i="2"/>
  <c r="B15" i="2"/>
  <c r="F13" i="2"/>
  <c r="F12" i="2"/>
  <c r="F10" i="2"/>
  <c r="F9" i="2"/>
  <c r="F8" i="2"/>
  <c r="I15" i="2" l="1"/>
  <c r="H6" i="5"/>
  <c r="E22" i="6" l="1"/>
  <c r="E20" i="6"/>
  <c r="E19" i="6"/>
  <c r="E17" i="6"/>
  <c r="E16" i="6"/>
  <c r="E14" i="6"/>
  <c r="E12" i="6"/>
  <c r="E10" i="6"/>
  <c r="E9" i="6"/>
  <c r="E8" i="6"/>
  <c r="E7" i="6"/>
  <c r="E6" i="6"/>
  <c r="E5" i="6"/>
  <c r="E4" i="6"/>
  <c r="D4" i="6"/>
  <c r="D5" i="6"/>
  <c r="D6" i="6"/>
  <c r="D7" i="6"/>
  <c r="D8" i="6"/>
  <c r="D9" i="6"/>
  <c r="L22" i="6" l="1"/>
  <c r="K22" i="6"/>
  <c r="J22" i="6"/>
  <c r="L21" i="6"/>
  <c r="K21" i="6"/>
  <c r="J21" i="6"/>
  <c r="L14" i="6"/>
  <c r="K14" i="6"/>
  <c r="J14" i="6"/>
  <c r="L12" i="6"/>
  <c r="K12" i="6"/>
  <c r="J12" i="6"/>
  <c r="L11" i="6"/>
  <c r="L18" i="6"/>
  <c r="K18" i="6"/>
  <c r="J18" i="6"/>
  <c r="K11" i="6"/>
  <c r="J11" i="6"/>
  <c r="E21" i="6"/>
  <c r="E18" i="6"/>
  <c r="E11" i="6"/>
  <c r="D22" i="6"/>
  <c r="I22" i="6" s="1"/>
  <c r="C22" i="6"/>
  <c r="C20" i="6"/>
  <c r="D20" i="6"/>
  <c r="D19" i="6"/>
  <c r="C19" i="6"/>
  <c r="C17" i="6"/>
  <c r="D17" i="6"/>
  <c r="D16" i="6"/>
  <c r="C16" i="6"/>
  <c r="D14" i="6"/>
  <c r="C14" i="6"/>
  <c r="D12" i="6"/>
  <c r="C12" i="6"/>
  <c r="D10" i="6"/>
  <c r="D11" i="6" s="1"/>
  <c r="C10" i="6"/>
  <c r="C9" i="6"/>
  <c r="C8" i="6"/>
  <c r="C5" i="6"/>
  <c r="C6" i="6"/>
  <c r="C7" i="6"/>
  <c r="C4" i="6"/>
  <c r="F4" i="6" s="1"/>
  <c r="B22" i="6"/>
  <c r="B20" i="6"/>
  <c r="B19" i="6"/>
  <c r="B17" i="6"/>
  <c r="B16" i="6"/>
  <c r="B14" i="6"/>
  <c r="B12" i="6"/>
  <c r="B10" i="6"/>
  <c r="B9" i="6"/>
  <c r="B8" i="6"/>
  <c r="B5" i="6"/>
  <c r="B6" i="6"/>
  <c r="B7" i="6"/>
  <c r="B4" i="6"/>
  <c r="B18" i="6" l="1"/>
  <c r="C18" i="6"/>
  <c r="C21" i="6"/>
  <c r="B21" i="6"/>
  <c r="D18" i="6"/>
  <c r="F19" i="6"/>
  <c r="B11" i="6"/>
  <c r="D21" i="6"/>
  <c r="C11" i="6"/>
  <c r="M12" i="6"/>
  <c r="M22" i="6"/>
  <c r="M21" i="6"/>
  <c r="K23" i="6"/>
  <c r="M14" i="6"/>
  <c r="M11" i="6"/>
  <c r="J23" i="6"/>
  <c r="M18" i="6"/>
  <c r="L23" i="6"/>
  <c r="E23" i="6"/>
  <c r="I6" i="6"/>
  <c r="F8" i="6"/>
  <c r="F10" i="6"/>
  <c r="F14" i="6"/>
  <c r="I17" i="6"/>
  <c r="F7" i="6"/>
  <c r="F5" i="6"/>
  <c r="F9" i="6"/>
  <c r="I12" i="6"/>
  <c r="F16" i="6"/>
  <c r="I19" i="6"/>
  <c r="I16" i="6"/>
  <c r="I7" i="6"/>
  <c r="F12" i="6"/>
  <c r="I10" i="6"/>
  <c r="F22" i="6"/>
  <c r="I9" i="6"/>
  <c r="I5" i="6"/>
  <c r="F6" i="6"/>
  <c r="F17" i="6"/>
  <c r="F20" i="6"/>
  <c r="I20" i="6"/>
  <c r="I14" i="6"/>
  <c r="I8" i="6"/>
  <c r="D23" i="6" l="1"/>
  <c r="I23" i="6" s="1"/>
  <c r="B23" i="6"/>
  <c r="G7" i="6" s="1"/>
  <c r="C23" i="6"/>
  <c r="M23" i="6"/>
  <c r="I4" i="6"/>
  <c r="C15" i="2"/>
  <c r="F14" i="2"/>
  <c r="F11" i="2"/>
  <c r="G6" i="6" l="1"/>
  <c r="G20" i="6"/>
  <c r="G9" i="6"/>
  <c r="G17" i="6"/>
  <c r="G16" i="6"/>
  <c r="G14" i="6"/>
  <c r="G8" i="6"/>
  <c r="G10" i="6"/>
  <c r="G4" i="6"/>
  <c r="G22" i="6"/>
  <c r="G5" i="6"/>
  <c r="G12" i="6"/>
  <c r="G19" i="6"/>
  <c r="F15" i="2"/>
  <c r="B7" i="4" s="1"/>
  <c r="I8" i="3"/>
  <c r="H7" i="5"/>
  <c r="H8" i="5"/>
  <c r="H9" i="5"/>
  <c r="H10" i="5"/>
  <c r="H11" i="5"/>
  <c r="H12" i="5"/>
  <c r="H13" i="5"/>
  <c r="H14" i="5"/>
  <c r="H15" i="5"/>
  <c r="H16" i="5"/>
  <c r="H17" i="5"/>
  <c r="H30" i="5"/>
  <c r="H31" i="5"/>
  <c r="H32" i="5"/>
  <c r="H18" i="5"/>
  <c r="H19" i="5"/>
  <c r="H20" i="5"/>
  <c r="H21" i="5"/>
  <c r="H22" i="5"/>
  <c r="H23" i="5"/>
  <c r="H33" i="5"/>
  <c r="H34" i="5"/>
  <c r="H35" i="5"/>
  <c r="H36" i="5"/>
  <c r="H37" i="5"/>
  <c r="H38" i="5"/>
  <c r="H39" i="5"/>
  <c r="H40" i="5"/>
  <c r="H41" i="5"/>
  <c r="H42" i="5"/>
  <c r="H43" i="5"/>
  <c r="H44" i="5"/>
  <c r="H45" i="5"/>
  <c r="H46" i="5"/>
  <c r="H47" i="5"/>
  <c r="H27" i="3"/>
  <c r="H23" i="6" l="1"/>
  <c r="N23" i="6" s="1"/>
  <c r="K8" i="3"/>
  <c r="I9" i="3"/>
  <c r="I10" i="3"/>
  <c r="I11" i="3"/>
  <c r="I16" i="3"/>
  <c r="I12" i="3"/>
  <c r="I13" i="3"/>
  <c r="I17" i="3"/>
  <c r="I18" i="3"/>
  <c r="I19" i="3"/>
  <c r="I25" i="3"/>
  <c r="I26" i="3"/>
  <c r="L8" i="3" l="1"/>
  <c r="L27" i="3" s="1"/>
  <c r="A7" i="4" s="1"/>
  <c r="C7" i="4" s="1"/>
  <c r="K14" i="3"/>
  <c r="K15" i="3"/>
  <c r="K22" i="3"/>
  <c r="K21" i="3"/>
  <c r="K24" i="3"/>
  <c r="K20" i="3"/>
  <c r="K11" i="3"/>
  <c r="K18" i="3"/>
  <c r="K13" i="3"/>
  <c r="K9" i="3"/>
  <c r="K10" i="3"/>
  <c r="K25" i="3"/>
  <c r="K12" i="3"/>
  <c r="K19" i="3"/>
  <c r="K16" i="3"/>
  <c r="K26" i="3"/>
  <c r="K17" i="3"/>
</calcChain>
</file>

<file path=xl/sharedStrings.xml><?xml version="1.0" encoding="utf-8"?>
<sst xmlns="http://schemas.openxmlformats.org/spreadsheetml/2006/main" count="448" uniqueCount="256">
  <si>
    <t>Приложение 5</t>
  </si>
  <si>
    <t>к Порядку формирования</t>
  </si>
  <si>
    <t>и финансового обеспечения выполнения</t>
  </si>
  <si>
    <t>государственного задания на оказание</t>
  </si>
  <si>
    <t>государственных услуг (выполнение работ)</t>
  </si>
  <si>
    <t>государственными учреждениями</t>
  </si>
  <si>
    <t>здравоохранения Тверской области</t>
  </si>
  <si>
    <t>УТВЕРЖДАЮ</t>
  </si>
  <si>
    <t>Отчет о выполнении государственного задания</t>
  </si>
  <si>
    <t>(наименование государственного учреждения Тверской области)</t>
  </si>
  <si>
    <t>наименование должности руководителя</t>
  </si>
  <si>
    <t>государственного учреждения</t>
  </si>
  <si>
    <t>Тверской области</t>
  </si>
  <si>
    <t>подпись расшифровка подписи</t>
  </si>
  <si>
    <t>СОГЛАСОВАНО</t>
  </si>
  <si>
    <t>Часть I. Финансовое обеспечение выполнения</t>
  </si>
  <si>
    <t>государственного задания</t>
  </si>
  <si>
    <t>N п/п</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</si>
  <si>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</si>
  <si>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</si>
  <si>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</si>
  <si>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Характеристика причин отклонения индекса освоения финансовых средств от 1</t>
  </si>
  <si>
    <t>Наименование государственной услуги (работы)</t>
  </si>
  <si>
    <t>Часть II. Достижение показателей объема государственных</t>
  </si>
  <si>
    <t>услуг, выполнения работ</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</si>
  <si>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</si>
  <si>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</si>
  <si>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</si>
  <si>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</si>
  <si>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</si>
  <si>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</si>
  <si>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Вес показателя в общем объеме государственных услуг (работ) в рамках государственного задания</t>
  </si>
  <si>
    <t>Итоговое выполнение государственного задания с учетом веса показателя объема государственных услуг, выполнения работ</t>
  </si>
  <si>
    <t>Характеристика причин отклонения показателя объема государственных услуг, выполнения работ от запланированного значения</t>
  </si>
  <si>
    <t>Индекс достижения показателей объема государственной услуги, выполнения работы 8 = 7/6</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</si>
  <si>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</si>
  <si>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</si>
  <si>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</si>
  <si>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</si>
  <si>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</si>
  <si>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</si>
  <si>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</si>
  <si>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</si>
  <si>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</si>
  <si>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Характеристика причин отклонения показателя качества государственной услуги (работы) от нормативного значения</t>
  </si>
  <si>
    <t>w</t>
  </si>
  <si>
    <t>Государственное задание</t>
  </si>
  <si>
    <t>x</t>
  </si>
  <si>
    <t>Индекс достижения планового значения показателей качества государственной услуги (работы) в отчетном периоде, гр. 8 = гр. 6 / гр. 5</t>
  </si>
  <si>
    <t>1.1</t>
  </si>
  <si>
    <t>ГБУЗ "Торжокская ЦРБ"</t>
  </si>
  <si>
    <r>
      <t xml:space="preserve">Работы.                                                                           </t>
    </r>
    <r>
      <rPr>
        <b/>
        <sz val="12"/>
        <color theme="1"/>
        <rFont val="Times New Roman"/>
        <family val="1"/>
        <charset val="204"/>
      </rPr>
      <t>Патологическая анатомия</t>
    </r>
  </si>
  <si>
    <t>ИТОГО:</t>
  </si>
  <si>
    <t>Число посещений</t>
  </si>
  <si>
    <t>Соответствие порядкам оказания медицинской помощи и на основе стандартов медицинской помощи</t>
  </si>
  <si>
    <t>% (процент)</t>
  </si>
  <si>
    <t>Удовлетворенность потребителей в оказанной государственной услуге</t>
  </si>
  <si>
    <t>1.2</t>
  </si>
  <si>
    <t>1.3</t>
  </si>
  <si>
    <t>Число обращений</t>
  </si>
  <si>
    <t>2.1</t>
  </si>
  <si>
    <t>2.2.</t>
  </si>
  <si>
    <t>2.3</t>
  </si>
  <si>
    <t>3.1.</t>
  </si>
  <si>
    <t>3.2.</t>
  </si>
  <si>
    <t>3.3</t>
  </si>
  <si>
    <t>4.1</t>
  </si>
  <si>
    <t>4.2</t>
  </si>
  <si>
    <t>4.3</t>
  </si>
  <si>
    <r>
      <t xml:space="preserve">Скорая, в том числе скорая специализированная, медицинская помощь (включая медицинскую эвакуацию), не включенная в базовую программу обязательного медицинского страхования, а также оказание медицинской помощи при чрезвычайных ситуациях. </t>
    </r>
    <r>
      <rPr>
        <b/>
        <sz val="12"/>
        <color rgb="FF0000FF"/>
        <rFont val="Times New Roman"/>
        <family val="1"/>
        <charset val="204"/>
      </rPr>
      <t xml:space="preserve">Скорая, в том числе скорая специализированная, медицинская помощь </t>
    </r>
    <r>
      <rPr>
        <sz val="12"/>
        <color rgb="FF0000FF"/>
        <rFont val="Times New Roman"/>
        <family val="1"/>
        <charset val="204"/>
      </rPr>
      <t>(за исключением санитарно-авиационной эвакуации). Вне медицинской организации.</t>
    </r>
  </si>
  <si>
    <t>Вызовов</t>
  </si>
  <si>
    <t>Человек</t>
  </si>
  <si>
    <r>
      <rPr>
        <b/>
        <sz val="12"/>
        <color rgb="FF0000FF"/>
        <rFont val="Times New Roman"/>
        <family val="1"/>
        <charset val="204"/>
      </rPr>
      <t xml:space="preserve">Паллиативная медицинская помощь. </t>
    </r>
    <r>
      <rPr>
        <sz val="12"/>
        <color rgb="FF0000FF"/>
        <rFont val="Times New Roman"/>
        <family val="1"/>
        <charset val="204"/>
      </rPr>
      <t>Стационар</t>
    </r>
  </si>
  <si>
    <r>
      <t>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t>
    </r>
    <r>
      <rPr>
        <b/>
        <sz val="12"/>
        <color rgb="FF0000FF"/>
        <rFont val="Times New Roman"/>
        <family val="1"/>
        <charset val="204"/>
      </rPr>
      <t xml:space="preserve"> Психиатрия-наркология (в части наркологии). Стационар.    </t>
    </r>
  </si>
  <si>
    <r>
      <t xml:space="preserve">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 </t>
    </r>
    <r>
      <rPr>
        <b/>
        <sz val="12"/>
        <color rgb="FF0000FF"/>
        <rFont val="Times New Roman"/>
        <family val="1"/>
        <charset val="204"/>
      </rPr>
      <t>Фтизиатрия. Дневной стационар</t>
    </r>
  </si>
  <si>
    <r>
      <t>Первичная медико-санитарная помощь, не включенная в базовую программу обязательного медицинского страхования.</t>
    </r>
    <r>
      <rPr>
        <b/>
        <sz val="12"/>
        <color rgb="FF0000FF"/>
        <rFont val="Times New Roman"/>
        <family val="1"/>
        <charset val="204"/>
      </rPr>
      <t xml:space="preserve"> Проведение углубленных медицинских исследования спортсменов</t>
    </r>
    <r>
      <rPr>
        <sz val="12"/>
        <color rgb="FF0000FF"/>
        <rFont val="Times New Roman"/>
        <family val="1"/>
        <charset val="204"/>
      </rPr>
      <t xml:space="preserve"> субъекта Российской Федерации. Условия оказания - </t>
    </r>
    <r>
      <rPr>
        <b/>
        <sz val="12"/>
        <color rgb="FF0000FF"/>
        <rFont val="Times New Roman"/>
        <family val="1"/>
        <charset val="204"/>
      </rPr>
      <t>Амбулаторно.</t>
    </r>
  </si>
  <si>
    <t>Количество исследований</t>
  </si>
  <si>
    <t>Число спортсменов</t>
  </si>
  <si>
    <t>Случаи лечения</t>
  </si>
  <si>
    <t>Случаи госпитализации</t>
  </si>
  <si>
    <t>Количество койко-дней</t>
  </si>
  <si>
    <t>Единица</t>
  </si>
  <si>
    <t>Условная единица</t>
  </si>
  <si>
    <t>Койко-дней</t>
  </si>
  <si>
    <t>Количество вызовов</t>
  </si>
  <si>
    <r>
      <t xml:space="preserve">Индекс освоения финансовых средств, (гр. 6 = </t>
    </r>
    <r>
      <rPr>
        <sz val="10"/>
        <color rgb="FF0000FF"/>
        <rFont val="Times New Roman"/>
        <family val="1"/>
        <charset val="204"/>
      </rPr>
      <t>гр. 5</t>
    </r>
    <r>
      <rPr>
        <sz val="10"/>
        <color theme="1"/>
        <rFont val="Times New Roman"/>
        <family val="1"/>
        <charset val="204"/>
      </rPr>
      <t xml:space="preserve"> /( </t>
    </r>
    <r>
      <rPr>
        <sz val="10"/>
        <color rgb="FF0000FF"/>
        <rFont val="Times New Roman"/>
        <family val="1"/>
        <charset val="204"/>
      </rPr>
      <t>гр. 2</t>
    </r>
    <r>
      <rPr>
        <sz val="10"/>
        <color theme="1"/>
        <rFont val="Times New Roman"/>
        <family val="1"/>
        <charset val="204"/>
      </rPr>
      <t xml:space="preserve"> + </t>
    </r>
    <r>
      <rPr>
        <sz val="10"/>
        <color rgb="FF0000FF"/>
        <rFont val="Times New Roman"/>
        <family val="1"/>
        <charset val="204"/>
      </rPr>
      <t>гр. 3</t>
    </r>
    <r>
      <rPr>
        <sz val="10"/>
        <color theme="1"/>
        <rFont val="Times New Roman"/>
        <family val="1"/>
        <charset val="204"/>
      </rPr>
      <t xml:space="preserve"> + </t>
    </r>
    <r>
      <rPr>
        <sz val="10"/>
        <color rgb="FF0000FF"/>
        <rFont val="Times New Roman"/>
        <family val="1"/>
        <charset val="204"/>
      </rPr>
      <t>гр. 4</t>
    </r>
    <r>
      <rPr>
        <sz val="10"/>
        <color theme="1"/>
        <rFont val="Times New Roman"/>
        <family val="1"/>
        <charset val="204"/>
      </rPr>
      <t>))</t>
    </r>
  </si>
  <si>
    <t xml:space="preserve">Паллиативная медицинская помощь. </t>
  </si>
  <si>
    <t>ИТОГО</t>
  </si>
  <si>
    <t>Врач работает на 0,5 ставки (ребенок до 3-х лет). По году показатели будут выровнены.</t>
  </si>
  <si>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2"/>
        <color rgb="FF0000FF"/>
        <rFont val="Times New Roman"/>
        <family val="1"/>
        <charset val="204"/>
      </rPr>
      <t>Наркология. Амбулаторно.</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</si>
  <si>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2"/>
        <color rgb="FF0000FF"/>
        <rFont val="Times New Roman"/>
        <family val="1"/>
        <charset val="204"/>
      </rPr>
      <t>Психиатрия. Амбулаторно</t>
    </r>
    <r>
      <rPr>
        <sz val="12"/>
        <color rgb="FF0000FF"/>
        <rFont val="Times New Roman"/>
        <family val="1"/>
        <charset val="204"/>
      </rPr>
      <t>.</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</si>
  <si>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2"/>
        <color rgb="FF0000FF"/>
        <rFont val="Times New Roman"/>
        <family val="1"/>
        <charset val="204"/>
      </rPr>
      <t>Фтизиатрия. Амбулаторно.</t>
    </r>
  </si>
  <si>
    <r>
      <rPr>
        <b/>
        <sz val="12"/>
        <color theme="1"/>
        <rFont val="Times New Roman"/>
        <family val="1"/>
        <charset val="204"/>
      </rPr>
      <t xml:space="preserve">Наркология. Амбулаторно </t>
    </r>
    <r>
      <rPr>
        <sz val="12"/>
        <color theme="1"/>
        <rFont val="Times New Roman"/>
        <family val="1"/>
        <charset val="204"/>
      </rPr>
      <t>(посещения)</t>
    </r>
  </si>
  <si>
    <r>
      <rPr>
        <b/>
        <sz val="12"/>
        <color theme="1"/>
        <rFont val="Times New Roman"/>
        <family val="1"/>
        <charset val="204"/>
      </rPr>
      <t xml:space="preserve">Наркология. Амбулаторно </t>
    </r>
    <r>
      <rPr>
        <sz val="12"/>
        <color theme="1"/>
        <rFont val="Times New Roman"/>
        <family val="1"/>
        <charset val="204"/>
      </rPr>
      <t>(обращения)</t>
    </r>
  </si>
  <si>
    <r>
      <rPr>
        <b/>
        <sz val="12"/>
        <color theme="1"/>
        <rFont val="Times New Roman"/>
        <family val="1"/>
        <charset val="204"/>
      </rPr>
      <t xml:space="preserve">Психиатрия. Амбулаторно </t>
    </r>
    <r>
      <rPr>
        <sz val="12"/>
        <color theme="1"/>
        <rFont val="Times New Roman"/>
        <family val="1"/>
        <charset val="204"/>
      </rPr>
      <t>(посещения).</t>
    </r>
  </si>
  <si>
    <r>
      <rPr>
        <b/>
        <sz val="12"/>
        <color theme="1"/>
        <rFont val="Times New Roman"/>
        <family val="1"/>
        <charset val="204"/>
      </rPr>
      <t>Психиатрия. Амбулаторно</t>
    </r>
    <r>
      <rPr>
        <sz val="12"/>
        <color theme="1"/>
        <rFont val="Times New Roman"/>
        <family val="1"/>
        <charset val="204"/>
      </rPr>
      <t xml:space="preserve"> (обращения).</t>
    </r>
  </si>
  <si>
    <r>
      <rPr>
        <b/>
        <sz val="12"/>
        <color theme="1"/>
        <rFont val="Times New Roman"/>
        <family val="1"/>
        <charset val="204"/>
      </rPr>
      <t xml:space="preserve">Фтизиатрия. Амбулаторно </t>
    </r>
    <r>
      <rPr>
        <sz val="12"/>
        <color theme="1"/>
        <rFont val="Times New Roman"/>
        <family val="1"/>
        <charset val="204"/>
      </rPr>
      <t>(посещения)</t>
    </r>
  </si>
  <si>
    <r>
      <rPr>
        <b/>
        <sz val="12"/>
        <color theme="1"/>
        <rFont val="Times New Roman"/>
        <family val="1"/>
        <charset val="204"/>
      </rPr>
      <t xml:space="preserve">Фтизиатрия. Амбулаторно </t>
    </r>
    <r>
      <rPr>
        <sz val="12"/>
        <color theme="1"/>
        <rFont val="Times New Roman"/>
        <family val="1"/>
        <charset val="204"/>
      </rPr>
      <t>(обращения)</t>
    </r>
  </si>
  <si>
    <t xml:space="preserve">Психиатрия. Стационар.    </t>
  </si>
  <si>
    <t>Психиатрия-наркология (в части наркологии). Дневной стационар</t>
  </si>
  <si>
    <t>Фтизиатрия. Дневной стационар</t>
  </si>
  <si>
    <r>
      <rPr>
        <b/>
        <sz val="12"/>
        <color theme="1"/>
        <rFont val="Times New Roman"/>
        <family val="1"/>
        <charset val="204"/>
      </rPr>
      <t>Проведение углубленных медицинских исследования спортсменов.</t>
    </r>
    <r>
      <rPr>
        <sz val="12"/>
        <color theme="1"/>
        <rFont val="Times New Roman"/>
        <family val="1"/>
        <charset val="204"/>
      </rPr>
      <t xml:space="preserve"> </t>
    </r>
    <r>
      <rPr>
        <b/>
        <sz val="12"/>
        <color theme="1"/>
        <rFont val="Times New Roman"/>
        <family val="1"/>
        <charset val="204"/>
      </rPr>
      <t>Амбулаторно.</t>
    </r>
  </si>
  <si>
    <t>Скорая, в том числе скорая специализированная, медицинская помощь</t>
  </si>
  <si>
    <t xml:space="preserve">Психиатрия-наркология (в части наркологии). Стационар.    </t>
  </si>
  <si>
    <t>Затраты на оказание гос.услуги (работы) согласно гос.заданию (без учета затрат на содержание гос.имущества Тверской области)</t>
  </si>
  <si>
    <t>Фактическое значение показателя объема гос. услуги</t>
  </si>
  <si>
    <t>Годовое значение показателя объема гос. услуги</t>
  </si>
  <si>
    <r>
      <t>Индекс достижения показателей объема гос.услуги, выполнения (</t>
    </r>
    <r>
      <rPr>
        <sz val="13"/>
        <color theme="1"/>
        <rFont val="Times New Roman"/>
        <family val="1"/>
        <charset val="204"/>
      </rPr>
      <t>I</t>
    </r>
    <r>
      <rPr>
        <sz val="11"/>
        <color theme="1"/>
        <rFont val="Times New Roman"/>
        <family val="1"/>
        <charset val="204"/>
      </rPr>
      <t>ojy =</t>
    </r>
    <r>
      <rPr>
        <sz val="12"/>
        <color theme="1"/>
        <rFont val="Times New Roman"/>
        <family val="1"/>
        <charset val="204"/>
      </rPr>
      <t xml:space="preserve"> О</t>
    </r>
    <r>
      <rPr>
        <sz val="11"/>
        <color theme="1"/>
        <rFont val="Times New Roman"/>
        <family val="1"/>
        <charset val="204"/>
      </rPr>
      <t>фактi</t>
    </r>
    <r>
      <rPr>
        <sz val="12"/>
        <color theme="1"/>
        <rFont val="Times New Roman"/>
        <family val="1"/>
        <charset val="204"/>
      </rPr>
      <t>/О</t>
    </r>
    <r>
      <rPr>
        <sz val="11"/>
        <color theme="1"/>
        <rFont val="Times New Roman"/>
        <family val="1"/>
        <charset val="204"/>
      </rPr>
      <t>планi )</t>
    </r>
  </si>
  <si>
    <r>
      <t>Вес показателя затрат в общем объеме гос.услуг (работ) в рамках гос.задания (Bj= Зпланi /</t>
    </r>
    <r>
      <rPr>
        <sz val="13"/>
        <color theme="1"/>
        <rFont val="Times New Roman"/>
        <family val="1"/>
        <charset val="204"/>
      </rPr>
      <t xml:space="preserve"> </t>
    </r>
    <r>
      <rPr>
        <sz val="13"/>
        <color theme="1"/>
        <rFont val="Calibri"/>
        <family val="2"/>
        <charset val="204"/>
      </rPr>
      <t>Σ</t>
    </r>
    <r>
      <rPr>
        <sz val="11"/>
        <color theme="1"/>
        <rFont val="Times New Roman"/>
        <family val="1"/>
        <charset val="204"/>
      </rPr>
      <t xml:space="preserve">Зпланi) </t>
    </r>
  </si>
  <si>
    <t xml:space="preserve">Итоговое выполнение гос.задания с учетом веса показателя объема гос.услуг </t>
  </si>
  <si>
    <t>Плановое (кв./полгода/ 9месяцев) значение показателя объема гос. услуги</t>
  </si>
  <si>
    <r>
      <t>Индекс достижения показателей объема гос.услуги, выполнения в Отчетном периоде (по отношению к плану)  (</t>
    </r>
    <r>
      <rPr>
        <sz val="13"/>
        <color theme="1"/>
        <rFont val="Times New Roman"/>
        <family val="1"/>
        <charset val="204"/>
      </rPr>
      <t>I</t>
    </r>
    <r>
      <rPr>
        <sz val="11"/>
        <color theme="1"/>
        <rFont val="Times New Roman"/>
        <family val="1"/>
        <charset val="204"/>
      </rPr>
      <t>ojy =</t>
    </r>
    <r>
      <rPr>
        <sz val="12"/>
        <color theme="1"/>
        <rFont val="Times New Roman"/>
        <family val="1"/>
        <charset val="204"/>
      </rPr>
      <t xml:space="preserve"> О</t>
    </r>
    <r>
      <rPr>
        <sz val="11"/>
        <color theme="1"/>
        <rFont val="Times New Roman"/>
        <family val="1"/>
        <charset val="204"/>
      </rPr>
      <t>фактi</t>
    </r>
    <r>
      <rPr>
        <sz val="12"/>
        <color theme="1"/>
        <rFont val="Times New Roman"/>
        <family val="1"/>
        <charset val="204"/>
      </rPr>
      <t>/О</t>
    </r>
    <r>
      <rPr>
        <sz val="11"/>
        <color theme="1"/>
        <rFont val="Times New Roman"/>
        <family val="1"/>
        <charset val="204"/>
      </rPr>
      <t xml:space="preserve">планi ) </t>
    </r>
  </si>
  <si>
    <t xml:space="preserve">Разрешенный к использованию остаток субсидии на выполнение гос.задания , руб. </t>
  </si>
  <si>
    <t xml:space="preserve">Кассовый расход на оказание гос.услуг, руб. </t>
  </si>
  <si>
    <t>Амбулаторно-поликлиническая медицинская помощь</t>
  </si>
  <si>
    <t>Специализированная стационарная медицинская помощь</t>
  </si>
  <si>
    <t>Индекс освоения финансовых средств, (гр.12 = гр.11/( гр.9 + гр.10))</t>
  </si>
  <si>
    <t>Специализированная медицинская помощь в дневных стационарах всех типов</t>
  </si>
  <si>
    <t>Сумма субсидии на выполнение гос.задания, перечисленная на лицевой счет учреждения за отчетный период (без учета остатков предыд. периодов), руб.</t>
  </si>
  <si>
    <t>Критерий фин.-экон.эффект. реализации гос.задания в отчетном периоде (гр.7/гр.12)</t>
  </si>
  <si>
    <t>Наименование государственных услуг / работ</t>
  </si>
  <si>
    <t>Критерий финансово-экономической эффективности реализации государственного задания в отчетном периоде,                                                                    гр. 3 = гр. 1 / гр. 2</t>
  </si>
  <si>
    <t>Главный врач ГБУЗ "Торжокская ЦРБ"</t>
  </si>
  <si>
    <t xml:space="preserve">                  И. А. Выжимов</t>
  </si>
  <si>
    <t>Количество освидетельствований</t>
  </si>
  <si>
    <t>Количество выполненных работ</t>
  </si>
  <si>
    <t>Наименование показателя контроля за исполнением государственного задания</t>
  </si>
  <si>
    <t>Источники ифнормации о фактическом значении показателя контроля за исполеннием государственного задания</t>
  </si>
  <si>
    <t>5.1</t>
  </si>
  <si>
    <t>5.2</t>
  </si>
  <si>
    <t>5.3</t>
  </si>
  <si>
    <t>6.2</t>
  </si>
  <si>
    <t>6.3</t>
  </si>
  <si>
    <t>7.1</t>
  </si>
  <si>
    <t>7.2</t>
  </si>
  <si>
    <t>7.3</t>
  </si>
  <si>
    <t>8.1</t>
  </si>
  <si>
    <t>8.2</t>
  </si>
  <si>
    <t>8.3</t>
  </si>
  <si>
    <t>9.1</t>
  </si>
  <si>
    <t>9.3</t>
  </si>
  <si>
    <t>9.2</t>
  </si>
  <si>
    <t>10.1</t>
  </si>
  <si>
    <t>10.2</t>
  </si>
  <si>
    <t>10.3</t>
  </si>
  <si>
    <t>11.1</t>
  </si>
  <si>
    <t>11.2</t>
  </si>
  <si>
    <t>11.3</t>
  </si>
  <si>
    <t>12.1</t>
  </si>
  <si>
    <t>12.2</t>
  </si>
  <si>
    <t>12.3</t>
  </si>
  <si>
    <t>13.1</t>
  </si>
  <si>
    <t>13.2</t>
  </si>
  <si>
    <t>13.3</t>
  </si>
  <si>
    <t>14.1</t>
  </si>
  <si>
    <t>14.2</t>
  </si>
  <si>
    <t>14.3</t>
  </si>
  <si>
    <t>Штук</t>
  </si>
  <si>
    <t>15.1</t>
  </si>
  <si>
    <t>15.2</t>
  </si>
  <si>
    <t>15.3</t>
  </si>
  <si>
    <t>16.1</t>
  </si>
  <si>
    <t>16.2</t>
  </si>
  <si>
    <t>Часть IV. Достижение показателей качества государственной услуги (работы)</t>
  </si>
  <si>
    <t>Принят на работу еще один врач-психиатр (внешний совместитель).</t>
  </si>
  <si>
    <t xml:space="preserve">Врач-психиатр (внешний совместитель) находился на больничном листе. </t>
  </si>
  <si>
    <t xml:space="preserve">Единственный специалист (врач-нарколог) находился на больничном листе. </t>
  </si>
  <si>
    <t>Активная работа с диспансерной группой.</t>
  </si>
  <si>
    <t xml:space="preserve">Работа с контингетном подлежащим обследованию специалиста. </t>
  </si>
  <si>
    <t>Форма № 062/у "Врачебно-контрольная карта диспансерного наблюдения спортсмена".</t>
  </si>
  <si>
    <t>В. А. Синода</t>
  </si>
  <si>
    <t>Заместитель Председателя Правительства Тверской области -  Министр здравоохранения Тверской области</t>
  </si>
  <si>
    <t>наименование должности руководителя исполнительного органа</t>
  </si>
  <si>
    <t>государственной власти Тверской области, осуществляющего</t>
  </si>
  <si>
    <t>функции и полномочия учредителя государственного учреждения</t>
  </si>
  <si>
    <t>Активная работа со страховыми медицинскими организациями.</t>
  </si>
  <si>
    <t>Не полная укомплектованность выездных бригад, уход в декретный отпуск 5 фельдшеров.</t>
  </si>
  <si>
    <t>"15" января 2018 г.</t>
  </si>
  <si>
    <t>Работы:</t>
  </si>
  <si>
    <t>Услуги:</t>
  </si>
  <si>
    <t>6.1</t>
  </si>
  <si>
    <t>17.1</t>
  </si>
  <si>
    <t>18.1</t>
  </si>
  <si>
    <t>18.2</t>
  </si>
  <si>
    <t>Медицинская помощь в экстренной форме незастрахованным гражданам в системе обязательного медицинского страхования.</t>
  </si>
  <si>
    <t>08209000000000001001102</t>
  </si>
  <si>
    <t>Категрории потребителей государственной услуги (работы)</t>
  </si>
  <si>
    <t>Физические лица, в т.ч.отдельные категории граждан, установленные законодательством РФ</t>
  </si>
  <si>
    <t>08200001200500003003102</t>
  </si>
  <si>
    <t>08200001200400003006103</t>
  </si>
  <si>
    <t>08200001200100003002103</t>
  </si>
  <si>
    <t>08200000700000003001103</t>
  </si>
  <si>
    <t xml:space="preserve">Медицинское освидетельствование на состояние опьянения (алкогольного, наркотического или иного токсического). </t>
  </si>
  <si>
    <t>Работа</t>
  </si>
  <si>
    <t>Органы государственной власти; физические лица, юридические лица</t>
  </si>
  <si>
    <t>Спортсмены субъектов РФ</t>
  </si>
  <si>
    <t>Оказание медицинской помощи при проведении официальных физкультурных, спортивных и массово-спортивных зрелищных мероприятий в соответствии с распорядительными документами субъекта Российской Федерации.</t>
  </si>
  <si>
    <t>Физические лица</t>
  </si>
  <si>
    <t>08202000200000001006101</t>
  </si>
  <si>
    <t>08202000100000001007101</t>
  </si>
  <si>
    <t>08202000300000002004102</t>
  </si>
  <si>
    <t>Отдельные категории граждан, установленные законодательством РФ; Физические лица</t>
  </si>
  <si>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2"/>
        <color rgb="FF0000FF"/>
        <rFont val="Times New Roman"/>
        <family val="1"/>
        <charset val="204"/>
      </rPr>
      <t>Венерология. Амбулаторно.</t>
    </r>
  </si>
  <si>
    <r>
      <t>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t>
    </r>
    <r>
      <rPr>
        <b/>
        <sz val="12"/>
        <color rgb="FF0000FF"/>
        <rFont val="Times New Roman"/>
        <family val="1"/>
        <charset val="204"/>
      </rPr>
      <t xml:space="preserve"> Психиатрия-наркология (в части психиатрии). Стационар.    </t>
    </r>
  </si>
  <si>
    <t>08391001600000003009100</t>
  </si>
  <si>
    <t>08384000000000000009102</t>
  </si>
  <si>
    <t>08204000600000004007101</t>
  </si>
  <si>
    <t>Процент</t>
  </si>
  <si>
    <t xml:space="preserve">                                                                         Патологическая анатомия</t>
  </si>
  <si>
    <r>
      <t xml:space="preserve">Разрешенный к использованию остаток субсидии на выполнение государственного задания за отчетный финансовый год, руб. </t>
    </r>
    <r>
      <rPr>
        <i/>
        <sz val="10"/>
        <color rgb="FFFF0000"/>
        <rFont val="Times New Roman"/>
        <family val="1"/>
        <charset val="204"/>
      </rPr>
      <t>(остаток средств 2017 года)</t>
    </r>
  </si>
  <si>
    <t>Работа полиции.</t>
  </si>
  <si>
    <t xml:space="preserve">                                                                                          Медицинская помощь в экстренной форме незастрахованным гражданам в системе обязательного медицинского страхования.</t>
  </si>
  <si>
    <t>Форма № 065/у "Медицинская карта больного венерическими заболеваниями".                 Форма № 025-1/у "Талон амбулаторного пациента".</t>
  </si>
  <si>
    <t>Форма № 003/у «Медицинская карта стационарного больного».                            Форма № 066/у-02 "Статистическая карта выбывшего из стационара".</t>
  </si>
  <si>
    <t>Форма № 025/у "Медицинская карта амбулаторного больного".                                     Форма № 025-1/у "Талон амбулаторного пациента".</t>
  </si>
  <si>
    <t>Форма № 025/у "Медицинская карта амбулаторного больного"/Форма № 025/у-05-88 "Медицинская карта амбулаторного наркологического больного".                                     Форма № 025-1/у "Талон амбулаторного пациента".</t>
  </si>
  <si>
    <t>Форма № 013/у "Протокол (карта) патологоанатомического исселедования".               Форма № 014/у "Направление на патологогистологическое исселедование".</t>
  </si>
  <si>
    <t>Форма "Журнал регистрации медицинских освидетельствований на состояние опьянения (алкогольного, наркотического или иного токсического)".</t>
  </si>
  <si>
    <t>Форма № 067/у "Журнал регистрации медицинской помощи, оказываемой на занятиях физкультуры и спортивных мероприятиях".                                                    Форма № 068/у "Журнал медицинского обслуживания физкультурных мероприятий".</t>
  </si>
  <si>
    <t>Форма № 003/у «Медицинская карта стационарного больного».                            Форма № 066/у-02 "Статистическая карта выбывшего из стационара".                                       Форма № 066-1/у-02 "Статистическая карта выбывшего из психиатрического (наркологического) стационара".</t>
  </si>
  <si>
    <t>Форма № 025/у "Медицинская карта амбулаторного больного".                                  Форма № 061/у "Медицинская карта больного туберкулезом".                                           Форма № 025-1/у "Талон амбулаторного пациента".</t>
  </si>
  <si>
    <t>Форма № 109/у "Журнал записи вызовов скорой медицинской помощи".                            Форма № 110/у "Карта вызова скорой медицинской помощи".</t>
  </si>
  <si>
    <t>Не полная укомплектованность выездных бригад, уход в декретный отпуск фельдшеров.</t>
  </si>
  <si>
    <t>Врач находился на листе временной нетрудоспособности,  в отпуске, уволился.   Работа специалиста по совместительству.</t>
  </si>
  <si>
    <t>Активная работа со страховыми медицинскими организациями и специалистами межтерриториальных фондов.</t>
  </si>
  <si>
    <t xml:space="preserve">Активная работа с контингетном подлежащим обследованию специалиста. </t>
  </si>
  <si>
    <t>(за 9 месяцев 2018 год)</t>
  </si>
  <si>
    <t>за отчетный период с 01.01.2018г.  по 30.09.2018г.</t>
  </si>
  <si>
    <t xml:space="preserve">Увольнение основного работника. Работа с контингетном подлежащим обследованию специалиста. </t>
  </si>
  <si>
    <t>Работает врач внешний совместитель.</t>
  </si>
  <si>
    <r>
      <t xml:space="preserve">                                                                         </t>
    </r>
    <r>
      <rPr>
        <b/>
        <sz val="13"/>
        <rFont val="Times New Roman"/>
        <family val="1"/>
        <charset val="204"/>
      </rPr>
      <t>Патологическая анатомия</t>
    </r>
  </si>
  <si>
    <r>
      <t>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t>
    </r>
    <r>
      <rPr>
        <b/>
        <sz val="12"/>
        <rFont val="Times New Roman"/>
        <family val="1"/>
        <charset val="204"/>
      </rPr>
      <t xml:space="preserve"> </t>
    </r>
    <r>
      <rPr>
        <b/>
        <sz val="13"/>
        <rFont val="Times New Roman"/>
        <family val="1"/>
        <charset val="204"/>
      </rPr>
      <t xml:space="preserve">Психиатрия-наркология (в части психиатрии). Стационар.    </t>
    </r>
  </si>
  <si>
    <r>
      <t xml:space="preserve">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 </t>
    </r>
    <r>
      <rPr>
        <b/>
        <sz val="13"/>
        <rFont val="Times New Roman"/>
        <family val="1"/>
        <charset val="204"/>
      </rPr>
      <t>Фтизиатрия. Дневной стационар</t>
    </r>
  </si>
  <si>
    <r>
      <t>Первичная медико-санитарная помощь, не включенная в базовую программу обязательного медицинского страхования.</t>
    </r>
    <r>
      <rPr>
        <b/>
        <sz val="12"/>
        <rFont val="Times New Roman"/>
        <family val="1"/>
        <charset val="204"/>
      </rPr>
      <t xml:space="preserve"> </t>
    </r>
    <r>
      <rPr>
        <b/>
        <sz val="13"/>
        <rFont val="Times New Roman"/>
        <family val="1"/>
        <charset val="204"/>
      </rPr>
      <t>Проведение углубленных медицинских исследования спортсменов</t>
    </r>
    <r>
      <rPr>
        <sz val="12"/>
        <rFont val="Times New Roman"/>
        <family val="1"/>
        <charset val="204"/>
      </rPr>
      <t xml:space="preserve"> субъекта Российской Федерации. Условия оказания - </t>
    </r>
    <r>
      <rPr>
        <b/>
        <sz val="12"/>
        <rFont val="Times New Roman"/>
        <family val="1"/>
        <charset val="204"/>
      </rPr>
      <t>Амбулаторно.</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</si>
  <si>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3"/>
        <rFont val="Times New Roman"/>
        <family val="1"/>
        <charset val="204"/>
      </rPr>
      <t>Фтизиатрия. Амбулаторно.</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</si>
  <si>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3"/>
        <rFont val="Times New Roman"/>
        <family val="1"/>
        <charset val="204"/>
      </rPr>
      <t>Венерология. Амбулаторно.</t>
    </r>
  </si>
  <si>
    <r>
      <t xml:space="preserve">Скорая, в том числе скорая специализированная, медицинская помощь (включая медицинскую эвакуацию), не включенная в базовую программу обязательного медицинского страхования, а также оказание медицинской помощи при чрезвычайных ситуациях. </t>
    </r>
    <r>
      <rPr>
        <b/>
        <sz val="13"/>
        <rFont val="Times New Roman"/>
        <family val="1"/>
        <charset val="204"/>
      </rPr>
      <t>Скорая, в том числе скорая специализированная, медицинская помощь</t>
    </r>
    <r>
      <rPr>
        <b/>
        <sz val="12"/>
        <rFont val="Times New Roman"/>
        <family val="1"/>
        <charset val="204"/>
      </rPr>
      <t xml:space="preserve"> </t>
    </r>
    <r>
      <rPr>
        <sz val="12"/>
        <rFont val="Times New Roman"/>
        <family val="1"/>
        <charset val="204"/>
      </rPr>
      <t>(за исключением санитарно-авиационной эвакуации). Вне медицинской организации.</t>
    </r>
  </si>
  <si>
    <r>
      <rPr>
        <b/>
        <sz val="13"/>
        <rFont val="Times New Roman"/>
        <family val="1"/>
        <charset val="204"/>
      </rPr>
      <t xml:space="preserve">Паллиативная медицинская помощь. </t>
    </r>
    <r>
      <rPr>
        <sz val="12"/>
        <rFont val="Times New Roman"/>
        <family val="1"/>
        <charset val="204"/>
      </rPr>
      <t>Стационар</t>
    </r>
  </si>
  <si>
    <r>
      <t>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t>
    </r>
    <r>
      <rPr>
        <b/>
        <sz val="12"/>
        <rFont val="Times New Roman"/>
        <family val="1"/>
        <charset val="204"/>
      </rPr>
      <t xml:space="preserve"> </t>
    </r>
    <r>
      <rPr>
        <b/>
        <sz val="13"/>
        <rFont val="Times New Roman"/>
        <family val="1"/>
        <charset val="204"/>
      </rPr>
      <t xml:space="preserve">Психиатрия-наркология (в части наркологии). Стационар.    </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</si>
  <si>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3"/>
        <rFont val="Times New Roman"/>
        <family val="1"/>
        <charset val="204"/>
      </rPr>
      <t>Наркология. Амбулаторно.</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</si>
  <si>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3"/>
        <rFont val="Times New Roman"/>
        <family val="1"/>
        <charset val="204"/>
      </rPr>
      <t>Психиатрия. Амбулаторно.</t>
    </r>
  </si>
  <si>
    <r>
      <t xml:space="preserve">Критерий финансово-экономической эффективности реализации государственного задания в отчетном периоде 0,8 &lt; </t>
    </r>
    <r>
      <rPr>
        <b/>
        <sz val="11"/>
        <color theme="1"/>
        <rFont val="Times New Roman"/>
        <family val="1"/>
        <charset val="204"/>
      </rPr>
      <t>1,12</t>
    </r>
    <r>
      <rPr>
        <sz val="11"/>
        <color theme="1"/>
        <rFont val="Times New Roman"/>
        <family val="1"/>
        <charset val="204"/>
      </rPr>
      <t xml:space="preserve">&lt;1,72.  </t>
    </r>
    <r>
      <rPr>
        <u/>
        <sz val="11"/>
        <color theme="1"/>
        <rFont val="Times New Roman"/>
        <family val="1"/>
        <charset val="204"/>
      </rPr>
      <t>Государственное задание в отчетном периоде выполнено эффективно.</t>
    </r>
  </si>
  <si>
    <r>
      <rPr>
        <b/>
        <sz val="12"/>
        <rFont val="Times New Roman"/>
        <family val="1"/>
        <charset val="204"/>
      </rPr>
      <t xml:space="preserve">Амбулаторно-поликлиническая медицинская помощь </t>
    </r>
    <r>
      <rPr>
        <sz val="12"/>
        <rFont val="Times New Roman"/>
        <family val="1"/>
        <charset val="204"/>
      </rPr>
      <t>(первичная медико-санитарная помощь), не включенная в базовую программу обязательного медицинского страхования.</t>
    </r>
  </si>
  <si>
    <r>
      <rPr>
        <b/>
        <sz val="12"/>
        <rFont val="Times New Roman"/>
        <family val="1"/>
        <charset val="204"/>
      </rPr>
      <t>Специализированная стационарная медицинская помощь</t>
    </r>
    <r>
      <rPr>
        <sz val="12"/>
        <rFont val="Times New Roman"/>
        <family val="1"/>
        <charset val="204"/>
      </rPr>
      <t xml:space="preserve"> (за исключением высокотехнологичной медицинской помощи), не включенная в базовую программу обязательного медицинского страхования.</t>
    </r>
  </si>
  <si>
    <r>
      <t xml:space="preserve">Из предусмотренной суммы субсидии на год </t>
    </r>
    <r>
      <rPr>
        <u/>
        <sz val="11"/>
        <color rgb="FFFF0000"/>
        <rFont val="Times New Roman"/>
        <family val="1"/>
        <charset val="204"/>
      </rPr>
      <t>не разрешены к расходованию</t>
    </r>
    <r>
      <rPr>
        <sz val="11"/>
        <color theme="1"/>
        <rFont val="Times New Roman"/>
        <family val="1"/>
        <charset val="204"/>
      </rPr>
      <t xml:space="preserve"> (КВР 244 КОСГУ 300) средства в сумме 1 280 050,00 руб.                                                                                                                                  Контракты на коммунальные услуги заключены до конца года, оплата производится помесячно в соответствии с представленными счетами.                                                                                                                                                                          Конртакты на поставку медикаментов и изделий медицинских средств, на поставку продуктов питания заключены до конца года.                                                                                                                                Контракт на поставку кухонного оборудования на стадии заключения (19 400,00 руб.)                                                                                                                                                                                                                                                                                  </t>
    </r>
  </si>
  <si>
    <t>Контракты за коммунальные услуги заключен до конца года, оплата производится помесячно, в соответствии с представленными счетами.                                                                                                                                                                                                                                                                                                                                 Конртакты на поставку медикаментов и изделий медицинских средств заключены до конца года.</t>
  </si>
  <si>
    <r>
      <rPr>
        <b/>
        <sz val="12"/>
        <rFont val="Times New Roman"/>
        <family val="1"/>
        <charset val="204"/>
      </rPr>
      <t>Специализированная медицинская помощь</t>
    </r>
    <r>
      <rPr>
        <sz val="12"/>
        <rFont val="Times New Roman"/>
        <family val="1"/>
        <charset val="204"/>
      </rPr>
      <t xml:space="preserve"> </t>
    </r>
    <r>
      <rPr>
        <b/>
        <sz val="12"/>
        <rFont val="Times New Roman"/>
        <family val="1"/>
        <charset val="204"/>
      </rPr>
      <t xml:space="preserve">в дневных стационарах всех типов </t>
    </r>
    <r>
      <rPr>
        <sz val="12"/>
        <rFont val="Times New Roman"/>
        <family val="1"/>
        <charset val="204"/>
      </rPr>
      <t>(за исключением высокотехнологичной медицинской помощи), не включенная в базовую программу обязательного медицинского страхования.</t>
    </r>
  </si>
  <si>
    <r>
      <t xml:space="preserve">Из предусмотренной суммы субсидии на год </t>
    </r>
    <r>
      <rPr>
        <u/>
        <sz val="11"/>
        <color rgb="FFFF0000"/>
        <rFont val="Times New Roman"/>
        <family val="1"/>
        <charset val="204"/>
      </rPr>
      <t>не разрешены к расходованию</t>
    </r>
    <r>
      <rPr>
        <sz val="11"/>
        <color theme="1"/>
        <rFont val="Times New Roman"/>
        <family val="1"/>
        <charset val="204"/>
      </rPr>
      <t xml:space="preserve"> (КВР 244 КОСГУ 300) средства в сумме 249 902,00 руб.                                                                                                                                  Контракты за коммунальные услуги и услуги связи заключены до конца года, оплата производится помесячно, в соответствии с представленными счетами.                                                                               Конртакты на поставку медикаментов и изделий медицинских средств заключены до конца года с соответствующей оплатой.                                                                                     </t>
    </r>
  </si>
  <si>
    <r>
      <rPr>
        <b/>
        <sz val="12"/>
        <rFont val="Times New Roman"/>
        <family val="1"/>
        <charset val="204"/>
      </rPr>
      <t>Специализированная (санитарно-авиационная) скорая медицинская помощь</t>
    </r>
    <r>
      <rPr>
        <sz val="12"/>
        <rFont val="Times New Roman"/>
        <family val="1"/>
        <charset val="204"/>
      </rPr>
      <t xml:space="preserve">, не включенная в базовую программу обязательного медицинского страхования. </t>
    </r>
    <r>
      <rPr>
        <b/>
        <sz val="12"/>
        <color theme="1"/>
        <rFont val="Times New Roman"/>
        <family val="1"/>
        <charset val="204"/>
      </rPr>
      <t/>
    </r>
  </si>
  <si>
    <t xml:space="preserve">Контракты за коммунальные услуги заключены до конца года, оплата производится помесячно, в соответствии с представленными счетами.                                                                                                                                                                                                                                                                                                                                 Конртакты на поставку медикаментов и изделий медицинских средств заключены до конца года.                         Конртакты на поставку продуктов питания заключены до конца года с соответствующей оплатой.   </t>
  </si>
  <si>
    <r>
      <t xml:space="preserve">Незастрахованные, </t>
    </r>
    <r>
      <rPr>
        <sz val="12"/>
        <rFont val="Times New Roman"/>
        <family val="1"/>
        <charset val="204"/>
      </rPr>
      <t xml:space="preserve">не включенная в базовую программу обязательного медицинского страхования. </t>
    </r>
  </si>
  <si>
    <t>Контракты за коммунальные услуги и услуги связи заключены до конца года, оплата производится помесячно, в соответствии с представленными счетами.                                                                                                                                                                           Конртакты на охрану объектов и материальных ценностей заключен до конца года, оплата производится помесячно, в соответствии с представленными счетами.                                                                                                                     Конртакты на поставку медикаментов и изделий медицинских средств заключены до конца года.                    Налог на землю и на имущество оплачивается ежеквартально.</t>
  </si>
  <si>
    <t xml:space="preserve">Контракты на коммунальные услуги заключены до конца года, оплата производится помесячно в соответствии с представленными счетами.                                                                                                                                                                          Конртакты на поставку медикаментов и изделий медицинских средств заключены до конца года с соответствующей оплатой.                                                                                                                                   Конртакты на поставку продуктов питания заключены до конца года с соответствующей оплатой.                              Налог на землю и на имущество оплачивается ежеквартально.                                                     </t>
  </si>
  <si>
    <r>
      <t xml:space="preserve">Патологоанатомическая служба, </t>
    </r>
    <r>
      <rPr>
        <sz val="12"/>
        <rFont val="Times New Roman"/>
        <family val="1"/>
        <charset val="204"/>
      </rPr>
      <t xml:space="preserve">не включенная в базовую программу обязательного медицинского страхования. </t>
    </r>
  </si>
  <si>
    <r>
      <t>Из предусмотренной суммы субсидии на год</t>
    </r>
    <r>
      <rPr>
        <u/>
        <sz val="11"/>
        <color rgb="FFFF0000"/>
        <rFont val="Times New Roman"/>
        <family val="1"/>
        <charset val="204"/>
      </rPr>
      <t xml:space="preserve"> не разрешены к расходованию </t>
    </r>
    <r>
      <rPr>
        <sz val="11"/>
        <color theme="1"/>
        <rFont val="Times New Roman"/>
        <family val="1"/>
        <charset val="204"/>
      </rPr>
      <t xml:space="preserve">(КВР 244 КОСГУ 300) средства в сумме 72 300 руб.                                                                                                                                                              Контракты за коммунальные услуги и услуги связи заключены до конца года, оплата производится помесячно, в соответствии с представленными счетами.                                                                                                         Конртакты на поставку медикаментов и изделий медицинских средств заключены до конца года с соответствующей оплатой.                                                                                                                                                                       Налог на землю и на имущество оплачивается ежеквартально.                                                                                                                                                                                                                                                          </t>
    </r>
  </si>
  <si>
    <t>Не полная укомплектованность спеицалистами.</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</si>
</sst>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0000"/>
    <numFmt numFmtId="165" formatCode="0.000000000"/>
    <numFmt numFmtId="166" formatCode="#,##0.000000"/>
    <numFmt numFmtId="167" formatCode="#,##0.0"/>
  </numFmts>
  <fonts count="28" x14ac:knownFonts="1">
    <font>
      <sz val="11"/>
      <color theme="1"/>
      <name val="Calibri"/>
      <family val="2"/>
      <charset val="204"/>
      <scheme val="minor"/>
    </font>
    <font>
      <sz val="12"/>
      <color theme="1"/>
      <name val="Times New Roman"/>
      <family val="1"/>
      <charset val="204"/>
    </font>
    <font>
      <sz val="10"/>
      <color theme="1"/>
      <name val="Courier New"/>
      <family val="3"/>
      <charset val="204"/>
    </font>
    <font>
      <sz val="12"/>
      <color rgb="FF0000FF"/>
      <name val="Times New Roman"/>
      <family val="1"/>
      <charset val="204"/>
    </font>
    <font>
      <b/>
      <sz val="12"/>
      <color theme="1"/>
      <name val="Times New Roman"/>
      <family val="1"/>
      <charset val="204"/>
    </font>
    <font>
      <sz val="11"/>
      <color theme="1"/>
      <name val="Times New Roman"/>
      <family val="1"/>
      <charset val="204"/>
    </font>
    <font>
      <b/>
      <sz val="11"/>
      <color theme="1"/>
      <name val="Times New Roman"/>
      <family val="1"/>
      <charset val="204"/>
    </font>
    <font>
      <b/>
      <sz val="12"/>
      <color rgb="FF0000FF"/>
      <name val="Times New Roman"/>
      <family val="1"/>
      <charset val="204"/>
    </font>
    <font>
      <sz val="11"/>
      <color rgb="FF0000FF"/>
      <name val="Calibri"/>
      <family val="2"/>
      <charset val="204"/>
      <scheme val="minor"/>
    </font>
    <font>
      <sz val="11"/>
      <color rgb="FF0000FF"/>
      <name val="Times New Roman"/>
      <family val="1"/>
      <charset val="204"/>
    </font>
    <font>
      <sz val="12"/>
      <name val="Times New Roman"/>
      <family val="1"/>
      <charset val="204"/>
    </font>
    <font>
      <b/>
      <sz val="12"/>
      <name val="Times New Roman"/>
      <family val="1"/>
      <charset val="204"/>
    </font>
    <font>
      <sz val="10"/>
      <color theme="1"/>
      <name val="Times New Roman"/>
      <family val="1"/>
      <charset val="204"/>
    </font>
    <font>
      <i/>
      <sz val="10"/>
      <color rgb="FFFF0000"/>
      <name val="Times New Roman"/>
      <family val="1"/>
      <charset val="204"/>
    </font>
    <font>
      <sz val="10"/>
      <color rgb="FF0000FF"/>
      <name val="Times New Roman"/>
      <family val="1"/>
      <charset val="204"/>
    </font>
    <font>
      <sz val="11"/>
      <name val="Times New Roman"/>
      <family val="1"/>
      <charset val="204"/>
    </font>
    <font>
      <sz val="13"/>
      <color theme="1"/>
      <name val="Times New Roman"/>
      <family val="1"/>
      <charset val="204"/>
    </font>
    <font>
      <sz val="13"/>
      <color theme="1"/>
      <name val="Calibri"/>
      <family val="2"/>
      <charset val="204"/>
    </font>
    <font>
      <u/>
      <sz val="11"/>
      <color theme="1"/>
      <name val="Times New Roman"/>
      <family val="1"/>
      <charset val="204"/>
    </font>
    <font>
      <b/>
      <sz val="11"/>
      <color theme="1"/>
      <name val="Calibri"/>
      <family val="2"/>
      <charset val="204"/>
      <scheme val="minor"/>
    </font>
    <font>
      <b/>
      <sz val="14"/>
      <color theme="1"/>
      <name val="Times New Roman"/>
      <family val="1"/>
      <charset val="204"/>
    </font>
    <font>
      <b/>
      <sz val="13"/>
      <color theme="1"/>
      <name val="Times New Roman"/>
      <family val="1"/>
      <charset val="204"/>
    </font>
    <font>
      <sz val="13"/>
      <color rgb="FF0000FF"/>
      <name val="Times New Roman"/>
      <family val="1"/>
      <charset val="204"/>
    </font>
    <font>
      <sz val="11"/>
      <name val="Calibri"/>
      <family val="2"/>
      <charset val="204"/>
      <scheme val="minor"/>
    </font>
    <font>
      <b/>
      <sz val="11"/>
      <name val="Times New Roman"/>
      <family val="1"/>
      <charset val="204"/>
    </font>
    <font>
      <u/>
      <sz val="11"/>
      <color rgb="FFFF0000"/>
      <name val="Times New Roman"/>
      <family val="1"/>
      <charset val="204"/>
    </font>
    <font>
      <sz val="10"/>
      <color theme="1"/>
      <name val="Calibri"/>
      <family val="2"/>
      <charset val="204"/>
      <scheme val="minor"/>
    </font>
    <font>
      <b/>
      <sz val="13"/>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rgb="FFFFFF00"/>
        <bgColor indexed="64"/>
      </patternFill>
    </fill>
    <fill>
      <patternFill patternType="solid">
        <fgColor theme="9" tint="0.79998168889431442"/>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87">
    <xf numFmtId="0" fontId="0" fillId="0" borderId="0" xfId="0"/>
    <xf numFmtId="0" fontId="2" fillId="0" borderId="0" xfId="0" applyFont="1" applyAlignment="1">
      <alignment horizontal="justify"/>
    </xf>
    <xf numFmtId="0" fontId="1" fillId="0" borderId="0" xfId="0" applyFont="1" applyAlignment="1">
      <alignment horizontal="justify"/>
    </xf>
    <xf numFmtId="49" fontId="1" fillId="0" borderId="0" xfId="0" applyNumberFormat="1" applyFont="1" applyAlignment="1">
      <alignment horizontal="justify"/>
    </xf>
    <xf numFmtId="49" fontId="0" fillId="0" borderId="0" xfId="0" applyNumberFormat="1"/>
    <xf numFmtId="0" fontId="1" fillId="0" borderId="2" xfId="0" applyFont="1" applyBorder="1" applyAlignment="1">
      <alignment horizontal="center" vertical="top" wrapText="1"/>
    </xf>
    <xf numFmtId="0" fontId="1" fillId="0" borderId="2" xfId="0" applyFont="1" applyBorder="1" applyAlignment="1">
      <alignment vertical="center" wrapText="1"/>
    </xf>
    <xf numFmtId="0" fontId="1" fillId="0" borderId="2" xfId="0" applyFont="1" applyBorder="1" applyAlignment="1">
      <alignment horizontal="center" vertical="center" wrapText="1"/>
    </xf>
    <xf numFmtId="4" fontId="1" fillId="0" borderId="2" xfId="0" applyNumberFormat="1" applyFont="1" applyBorder="1" applyAlignment="1">
      <alignment horizontal="center" vertical="center" wrapText="1"/>
    </xf>
    <xf numFmtId="0" fontId="0" fillId="0" borderId="0" xfId="0" applyAlignment="1">
      <alignment vertical="center"/>
    </xf>
    <xf numFmtId="0" fontId="6" fillId="0" borderId="2" xfId="0" applyFont="1" applyBorder="1" applyAlignment="1">
      <alignment horizontal="center" vertical="center"/>
    </xf>
    <xf numFmtId="0" fontId="4" fillId="0" borderId="2" xfId="0" applyFont="1" applyFill="1" applyBorder="1" applyAlignment="1">
      <alignment horizontal="center" vertical="center" wrapText="1"/>
    </xf>
    <xf numFmtId="0" fontId="6" fillId="0" borderId="0" xfId="0" applyFont="1" applyAlignment="1">
      <alignment horizontal="center" vertical="center"/>
    </xf>
    <xf numFmtId="0" fontId="1" fillId="0" borderId="2" xfId="0" applyFont="1" applyBorder="1" applyAlignment="1">
      <alignment horizontal="left" vertical="center" wrapText="1"/>
    </xf>
    <xf numFmtId="0" fontId="3" fillId="0" borderId="2"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49" fontId="3" fillId="0" borderId="2"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left"/>
    </xf>
    <xf numFmtId="0" fontId="4" fillId="0" borderId="2" xfId="0" applyFont="1" applyBorder="1" applyAlignment="1">
      <alignment horizontal="center" vertical="center" wrapText="1"/>
    </xf>
    <xf numFmtId="4" fontId="0" fillId="0" borderId="0" xfId="0" applyNumberFormat="1"/>
    <xf numFmtId="4" fontId="10" fillId="0" borderId="2" xfId="0" applyNumberFormat="1" applyFont="1" applyBorder="1" applyAlignment="1">
      <alignment horizontal="center" vertical="center" wrapText="1"/>
    </xf>
    <xf numFmtId="0" fontId="12" fillId="0" borderId="2" xfId="0" applyFont="1" applyBorder="1" applyAlignment="1">
      <alignment horizontal="center" vertical="center" wrapText="1"/>
    </xf>
    <xf numFmtId="0" fontId="6" fillId="0" borderId="2" xfId="0" applyFont="1" applyBorder="1" applyAlignment="1">
      <alignment horizontal="center" vertical="center" wrapText="1"/>
    </xf>
    <xf numFmtId="0" fontId="4" fillId="0" borderId="2" xfId="0" applyFont="1" applyBorder="1" applyAlignment="1">
      <alignment vertical="center" wrapText="1"/>
    </xf>
    <xf numFmtId="4" fontId="0" fillId="0" borderId="0" xfId="0" applyNumberFormat="1" applyAlignment="1">
      <alignment vertical="center"/>
    </xf>
    <xf numFmtId="0" fontId="0" fillId="0" borderId="0" xfId="0" applyAlignment="1">
      <alignment horizontal="left" vertical="center"/>
    </xf>
    <xf numFmtId="0" fontId="4" fillId="0" borderId="2" xfId="0" applyFont="1" applyBorder="1" applyAlignment="1">
      <alignment horizontal="left" vertical="center" wrapText="1"/>
    </xf>
    <xf numFmtId="0" fontId="0" fillId="0" borderId="0" xfId="0" applyAlignment="1">
      <alignment vertical="top"/>
    </xf>
    <xf numFmtId="0" fontId="0" fillId="0" borderId="0" xfId="0" applyBorder="1"/>
    <xf numFmtId="0" fontId="1" fillId="0" borderId="0" xfId="0" applyFont="1" applyBorder="1" applyAlignment="1">
      <alignment horizontal="center" vertical="top" wrapText="1"/>
    </xf>
    <xf numFmtId="0" fontId="4" fillId="0" borderId="2" xfId="0" applyFont="1" applyBorder="1" applyAlignment="1">
      <alignment horizontal="center" vertical="top" wrapText="1"/>
    </xf>
    <xf numFmtId="0" fontId="5" fillId="0" borderId="2"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left" vertical="top" wrapText="1"/>
    </xf>
    <xf numFmtId="4" fontId="4" fillId="0" borderId="2" xfId="0" applyNumberFormat="1" applyFont="1" applyBorder="1" applyAlignment="1">
      <alignment horizontal="center" vertical="center" wrapText="1"/>
    </xf>
    <xf numFmtId="0" fontId="0" fillId="0" borderId="0" xfId="0" applyAlignment="1">
      <alignment wrapText="1"/>
    </xf>
    <xf numFmtId="0" fontId="5" fillId="3" borderId="2" xfId="0" applyFont="1" applyFill="1" applyBorder="1" applyAlignment="1">
      <alignment horizontal="center" vertical="center" wrapText="1"/>
    </xf>
    <xf numFmtId="0" fontId="5" fillId="0" borderId="2" xfId="0" applyFont="1" applyBorder="1" applyAlignment="1">
      <alignment horizontal="center" vertical="top" wrapText="1"/>
    </xf>
    <xf numFmtId="0" fontId="15" fillId="0" borderId="2" xfId="0" applyFont="1" applyBorder="1" applyAlignment="1">
      <alignment horizontal="left" vertical="center" wrapText="1"/>
    </xf>
    <xf numFmtId="0" fontId="11" fillId="0" borderId="2" xfId="0" applyFont="1" applyBorder="1" applyAlignment="1">
      <alignment vertical="center" wrapText="1"/>
    </xf>
    <xf numFmtId="0" fontId="0" fillId="0" borderId="2" xfId="0" applyBorder="1" applyAlignment="1">
      <alignment vertical="center"/>
    </xf>
    <xf numFmtId="0" fontId="0" fillId="0" borderId="0" xfId="0" applyFont="1"/>
    <xf numFmtId="0" fontId="1" fillId="0" borderId="2" xfId="0" applyFont="1" applyBorder="1" applyAlignment="1">
      <alignment horizontal="center" vertical="center"/>
    </xf>
    <xf numFmtId="164" fontId="1" fillId="0" borderId="2" xfId="0" applyNumberFormat="1" applyFont="1" applyBorder="1" applyAlignment="1">
      <alignment horizontal="center" vertical="center" wrapText="1"/>
    </xf>
    <xf numFmtId="164" fontId="1" fillId="0" borderId="2" xfId="0" applyNumberFormat="1" applyFont="1" applyBorder="1" applyAlignment="1">
      <alignment horizontal="center" vertical="center"/>
    </xf>
    <xf numFmtId="164" fontId="10" fillId="0" borderId="2" xfId="0" applyNumberFormat="1" applyFont="1" applyBorder="1" applyAlignment="1">
      <alignment horizontal="center" vertical="center" wrapText="1"/>
    </xf>
    <xf numFmtId="0" fontId="0" fillId="0" borderId="2" xfId="0" applyBorder="1" applyAlignment="1">
      <alignment horizontal="center" vertical="top"/>
    </xf>
    <xf numFmtId="0" fontId="5" fillId="0" borderId="7" xfId="0" applyFont="1" applyBorder="1" applyAlignment="1">
      <alignment horizontal="center" vertical="top" wrapText="1"/>
    </xf>
    <xf numFmtId="164" fontId="1" fillId="0" borderId="7" xfId="0" applyNumberFormat="1" applyFont="1" applyBorder="1" applyAlignment="1">
      <alignment horizontal="center" vertical="center" wrapText="1"/>
    </xf>
    <xf numFmtId="0" fontId="0" fillId="0" borderId="2" xfId="0" applyFont="1" applyBorder="1" applyAlignment="1">
      <alignment horizontal="center"/>
    </xf>
    <xf numFmtId="0" fontId="4" fillId="4" borderId="2" xfId="0" applyFont="1" applyFill="1" applyBorder="1" applyAlignment="1">
      <alignment vertical="center" wrapText="1"/>
    </xf>
    <xf numFmtId="4" fontId="4" fillId="0" borderId="2" xfId="0" applyNumberFormat="1" applyFont="1" applyBorder="1" applyAlignment="1">
      <alignment horizontal="center" vertical="center"/>
    </xf>
    <xf numFmtId="164" fontId="4" fillId="0" borderId="2" xfId="0" applyNumberFormat="1" applyFont="1" applyBorder="1" applyAlignment="1">
      <alignment horizontal="center" vertical="center"/>
    </xf>
    <xf numFmtId="165" fontId="4" fillId="0" borderId="7" xfId="0" applyNumberFormat="1" applyFont="1" applyBorder="1" applyAlignment="1">
      <alignment horizontal="center" vertical="center"/>
    </xf>
    <xf numFmtId="4" fontId="4" fillId="4" borderId="2" xfId="0" applyNumberFormat="1" applyFont="1" applyFill="1" applyBorder="1" applyAlignment="1">
      <alignment horizontal="center" vertical="center" wrapText="1"/>
    </xf>
    <xf numFmtId="164" fontId="4" fillId="4" borderId="2" xfId="0" applyNumberFormat="1" applyFont="1" applyFill="1" applyBorder="1" applyAlignment="1">
      <alignment horizontal="center" vertical="center" wrapText="1"/>
    </xf>
    <xf numFmtId="164" fontId="4" fillId="4" borderId="7" xfId="0" applyNumberFormat="1" applyFont="1" applyFill="1" applyBorder="1" applyAlignment="1">
      <alignment horizontal="center" vertical="center" wrapText="1"/>
    </xf>
    <xf numFmtId="4" fontId="4" fillId="4" borderId="2" xfId="0" applyNumberFormat="1" applyFont="1" applyFill="1" applyBorder="1" applyAlignment="1">
      <alignment horizontal="center" vertical="center"/>
    </xf>
    <xf numFmtId="164" fontId="4" fillId="4" borderId="2" xfId="0" applyNumberFormat="1" applyFont="1" applyFill="1" applyBorder="1" applyAlignment="1">
      <alignment horizontal="center" vertical="center"/>
    </xf>
    <xf numFmtId="0" fontId="1" fillId="0" borderId="7" xfId="0" applyFont="1" applyBorder="1" applyAlignment="1">
      <alignment horizontal="center" vertical="center"/>
    </xf>
    <xf numFmtId="4" fontId="1" fillId="0" borderId="2" xfId="0" applyNumberFormat="1" applyFont="1" applyBorder="1" applyAlignment="1">
      <alignment horizontal="center" vertical="center"/>
    </xf>
    <xf numFmtId="0" fontId="6" fillId="4" borderId="2" xfId="0" applyFont="1" applyFill="1" applyBorder="1" applyAlignment="1">
      <alignment vertical="center" wrapText="1"/>
    </xf>
    <xf numFmtId="0" fontId="0" fillId="0" borderId="7" xfId="0" applyFont="1" applyBorder="1" applyAlignment="1">
      <alignment horizontal="center"/>
    </xf>
    <xf numFmtId="164" fontId="1" fillId="0" borderId="7" xfId="0" applyNumberFormat="1" applyFont="1" applyBorder="1" applyAlignment="1">
      <alignment horizontal="center" vertical="center"/>
    </xf>
    <xf numFmtId="164" fontId="4" fillId="4" borderId="7" xfId="0" applyNumberFormat="1" applyFont="1" applyFill="1" applyBorder="1" applyAlignment="1">
      <alignment horizontal="center" vertical="center"/>
    </xf>
    <xf numFmtId="164" fontId="4" fillId="0" borderId="7" xfId="0" applyNumberFormat="1" applyFont="1" applyFill="1" applyBorder="1" applyAlignment="1">
      <alignment horizontal="center" vertical="center"/>
    </xf>
    <xf numFmtId="166" fontId="4" fillId="5" borderId="2" xfId="0" applyNumberFormat="1" applyFont="1" applyFill="1" applyBorder="1" applyAlignment="1">
      <alignment horizontal="center" vertical="center"/>
    </xf>
    <xf numFmtId="165" fontId="4" fillId="0" borderId="2" xfId="0" applyNumberFormat="1" applyFont="1" applyFill="1" applyBorder="1" applyAlignment="1">
      <alignment horizontal="center" vertical="center"/>
    </xf>
    <xf numFmtId="165" fontId="4" fillId="0" borderId="7" xfId="0" applyNumberFormat="1" applyFont="1" applyFill="1" applyBorder="1" applyAlignment="1">
      <alignment horizontal="center" vertical="center"/>
    </xf>
    <xf numFmtId="4" fontId="3" fillId="0" borderId="2" xfId="0" applyNumberFormat="1" applyFont="1" applyBorder="1" applyAlignment="1">
      <alignment horizontal="center" vertical="center" wrapText="1"/>
    </xf>
    <xf numFmtId="2" fontId="1" fillId="0" borderId="2" xfId="0" applyNumberFormat="1" applyFont="1" applyBorder="1" applyAlignment="1">
      <alignment horizontal="center" vertical="center" wrapText="1"/>
    </xf>
    <xf numFmtId="2" fontId="4" fillId="0" borderId="2"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167" fontId="1" fillId="0" borderId="2" xfId="0" applyNumberFormat="1" applyFont="1" applyBorder="1" applyAlignment="1">
      <alignment horizontal="center" vertical="center" wrapText="1"/>
    </xf>
    <xf numFmtId="0" fontId="8" fillId="0" borderId="0" xfId="0" applyFont="1"/>
    <xf numFmtId="0" fontId="9" fillId="2" borderId="2" xfId="0" applyFont="1" applyFill="1" applyBorder="1" applyAlignment="1">
      <alignment horizontal="center" vertical="center"/>
    </xf>
    <xf numFmtId="0" fontId="3" fillId="3" borderId="2" xfId="0" applyFont="1" applyFill="1" applyBorder="1" applyAlignment="1">
      <alignment horizontal="center" vertical="center"/>
    </xf>
    <xf numFmtId="49" fontId="5" fillId="6" borderId="2" xfId="0" applyNumberFormat="1" applyFont="1" applyFill="1" applyBorder="1" applyAlignment="1">
      <alignment horizontal="center" vertical="top" wrapText="1"/>
    </xf>
    <xf numFmtId="0" fontId="5" fillId="6" borderId="2" xfId="0" applyFont="1" applyFill="1" applyBorder="1" applyAlignment="1">
      <alignment horizontal="center" vertical="top" wrapText="1"/>
    </xf>
    <xf numFmtId="0" fontId="9" fillId="6" borderId="2" xfId="0" applyFont="1" applyFill="1" applyBorder="1" applyAlignment="1">
      <alignment horizontal="center" vertical="top" wrapText="1"/>
    </xf>
    <xf numFmtId="49" fontId="1" fillId="6" borderId="2" xfId="0" applyNumberFormat="1" applyFont="1" applyFill="1" applyBorder="1" applyAlignment="1">
      <alignment horizontal="center" vertical="top" wrapText="1"/>
    </xf>
    <xf numFmtId="0" fontId="1" fillId="6" borderId="2" xfId="0" applyFont="1" applyFill="1" applyBorder="1" applyAlignment="1">
      <alignment horizontal="center" vertical="top" wrapText="1"/>
    </xf>
    <xf numFmtId="0" fontId="1" fillId="6" borderId="2" xfId="0" applyFont="1" applyFill="1" applyBorder="1" applyAlignment="1">
      <alignment horizontal="left" vertical="top" wrapText="1"/>
    </xf>
    <xf numFmtId="0" fontId="3" fillId="6" borderId="2" xfId="0" applyFont="1" applyFill="1" applyBorder="1" applyAlignment="1">
      <alignment horizontal="center" vertical="top" wrapText="1"/>
    </xf>
    <xf numFmtId="49" fontId="3" fillId="6" borderId="2" xfId="0" applyNumberFormat="1" applyFont="1" applyFill="1" applyBorder="1" applyAlignment="1">
      <alignment horizontal="center" vertical="center" wrapText="1"/>
    </xf>
    <xf numFmtId="0" fontId="3" fillId="6" borderId="5" xfId="0" applyFont="1" applyFill="1" applyBorder="1" applyAlignment="1">
      <alignment horizontal="left" vertical="center" wrapText="1"/>
    </xf>
    <xf numFmtId="0" fontId="1" fillId="6" borderId="2" xfId="0" applyFont="1" applyFill="1" applyBorder="1" applyAlignment="1">
      <alignment horizontal="left" vertical="center" wrapText="1"/>
    </xf>
    <xf numFmtId="0" fontId="1" fillId="6" borderId="2" xfId="0" applyFont="1" applyFill="1" applyBorder="1" applyAlignment="1">
      <alignment horizontal="center" vertical="center" wrapText="1"/>
    </xf>
    <xf numFmtId="0" fontId="3" fillId="6" borderId="2" xfId="0" applyFont="1" applyFill="1" applyBorder="1" applyAlignment="1">
      <alignment horizontal="center" vertical="center" wrapText="1"/>
    </xf>
    <xf numFmtId="4" fontId="1" fillId="6" borderId="2" xfId="0" applyNumberFormat="1" applyFont="1" applyFill="1" applyBorder="1" applyAlignment="1">
      <alignment horizontal="center" vertical="center" wrapText="1"/>
    </xf>
    <xf numFmtId="0" fontId="19" fillId="0" borderId="0" xfId="0" applyFont="1" applyAlignment="1">
      <alignment horizontal="center" vertical="center"/>
    </xf>
    <xf numFmtId="0" fontId="23" fillId="0" borderId="0" xfId="0" applyFont="1"/>
    <xf numFmtId="0" fontId="15" fillId="6" borderId="2" xfId="0" applyFont="1" applyFill="1" applyBorder="1" applyAlignment="1">
      <alignment horizontal="center" vertical="top" wrapText="1"/>
    </xf>
    <xf numFmtId="0" fontId="10" fillId="6" borderId="2" xfId="0" applyFont="1" applyFill="1" applyBorder="1" applyAlignment="1">
      <alignment horizontal="center" vertical="top" wrapText="1"/>
    </xf>
    <xf numFmtId="0" fontId="10" fillId="6" borderId="5" xfId="0" applyFont="1" applyFill="1" applyBorder="1" applyAlignment="1">
      <alignment horizontal="left" vertical="center" wrapText="1"/>
    </xf>
    <xf numFmtId="0" fontId="10" fillId="0" borderId="2" xfId="0" applyFont="1" applyBorder="1" applyAlignment="1">
      <alignment horizontal="center" vertical="center" wrapText="1"/>
    </xf>
    <xf numFmtId="0" fontId="15" fillId="2" borderId="2" xfId="0" applyFont="1" applyFill="1" applyBorder="1" applyAlignment="1">
      <alignment horizontal="center" vertical="center"/>
    </xf>
    <xf numFmtId="0" fontId="10" fillId="3" borderId="2" xfId="0" applyFont="1" applyFill="1" applyBorder="1" applyAlignment="1">
      <alignment horizontal="center" vertical="center"/>
    </xf>
    <xf numFmtId="0" fontId="10" fillId="0" borderId="2" xfId="0" applyFont="1" applyBorder="1" applyAlignment="1">
      <alignment horizontal="center" vertical="top" wrapText="1"/>
    </xf>
    <xf numFmtId="4" fontId="24" fillId="0" borderId="2" xfId="0" applyNumberFormat="1" applyFont="1" applyBorder="1" applyAlignment="1">
      <alignment horizontal="center" vertical="center"/>
    </xf>
    <xf numFmtId="0" fontId="24" fillId="0" borderId="2" xfId="0" applyFont="1" applyBorder="1" applyAlignment="1">
      <alignment horizontal="center" vertical="center"/>
    </xf>
    <xf numFmtId="0" fontId="12" fillId="0" borderId="2" xfId="0" applyFont="1" applyBorder="1" applyAlignment="1">
      <alignment horizontal="center" vertical="top" wrapText="1"/>
    </xf>
    <xf numFmtId="0" fontId="26" fillId="0" borderId="0" xfId="0" applyFont="1"/>
    <xf numFmtId="4" fontId="26" fillId="0" borderId="0" xfId="0" applyNumberFormat="1" applyFont="1"/>
    <xf numFmtId="0" fontId="1" fillId="5" borderId="2" xfId="0" applyFont="1" applyFill="1" applyBorder="1" applyAlignment="1">
      <alignment horizontal="center" vertical="center" wrapText="1"/>
    </xf>
    <xf numFmtId="0" fontId="4" fillId="5" borderId="2" xfId="0" applyFont="1" applyFill="1" applyBorder="1" applyAlignment="1">
      <alignment vertical="center" wrapText="1"/>
    </xf>
    <xf numFmtId="0" fontId="4" fillId="5" borderId="2" xfId="0" applyFont="1" applyFill="1" applyBorder="1" applyAlignment="1">
      <alignment horizontal="center" vertical="center" wrapText="1"/>
    </xf>
    <xf numFmtId="0" fontId="7" fillId="5" borderId="2" xfId="0" applyFont="1" applyFill="1" applyBorder="1" applyAlignment="1">
      <alignment horizontal="center" vertical="center" wrapText="1"/>
    </xf>
    <xf numFmtId="167" fontId="4" fillId="5" borderId="2" xfId="0" applyNumberFormat="1" applyFont="1" applyFill="1" applyBorder="1" applyAlignment="1">
      <alignment horizontal="center" vertical="center" wrapText="1"/>
    </xf>
    <xf numFmtId="4" fontId="11" fillId="5" borderId="2" xfId="0" applyNumberFormat="1" applyFont="1" applyFill="1" applyBorder="1" applyAlignment="1">
      <alignment horizontal="center" vertical="center" wrapText="1"/>
    </xf>
    <xf numFmtId="0" fontId="1" fillId="5" borderId="2" xfId="0" applyFont="1" applyFill="1" applyBorder="1" applyAlignment="1">
      <alignment horizontal="center" vertical="top" wrapText="1"/>
    </xf>
    <xf numFmtId="0" fontId="10" fillId="5" borderId="2" xfId="0" applyFont="1" applyFill="1" applyBorder="1" applyAlignment="1">
      <alignment horizontal="center" vertical="top" wrapText="1"/>
    </xf>
    <xf numFmtId="0" fontId="4" fillId="5" borderId="2" xfId="0" applyFont="1" applyFill="1" applyBorder="1" applyAlignment="1">
      <alignment horizontal="left" vertical="top" wrapText="1"/>
    </xf>
    <xf numFmtId="0" fontId="1" fillId="5" borderId="3" xfId="0" applyFont="1" applyFill="1" applyBorder="1" applyAlignment="1">
      <alignment horizontal="center" vertical="top" wrapText="1"/>
    </xf>
    <xf numFmtId="0" fontId="15" fillId="5" borderId="2" xfId="0" applyFont="1" applyFill="1" applyBorder="1" applyAlignment="1">
      <alignment horizontal="left" vertical="center" wrapText="1"/>
    </xf>
    <xf numFmtId="49" fontId="3" fillId="0" borderId="5" xfId="0" applyNumberFormat="1" applyFont="1" applyBorder="1" applyAlignment="1">
      <alignment horizontal="center" vertical="center" wrapText="1"/>
    </xf>
    <xf numFmtId="49" fontId="1" fillId="0" borderId="2" xfId="0" applyNumberFormat="1" applyFont="1" applyBorder="1" applyAlignment="1">
      <alignment horizontal="center" vertical="top" wrapText="1"/>
    </xf>
    <xf numFmtId="49" fontId="1" fillId="5" borderId="2" xfId="0" applyNumberFormat="1" applyFont="1" applyFill="1" applyBorder="1" applyAlignment="1">
      <alignment horizontal="center" vertical="top" wrapText="1"/>
    </xf>
    <xf numFmtId="49" fontId="6" fillId="0" borderId="2" xfId="0" applyNumberFormat="1" applyFont="1" applyBorder="1" applyAlignment="1">
      <alignment horizontal="center" vertical="center"/>
    </xf>
    <xf numFmtId="49" fontId="0" fillId="0" borderId="0" xfId="0" applyNumberFormat="1" applyAlignment="1"/>
    <xf numFmtId="49" fontId="5" fillId="6" borderId="2" xfId="0" applyNumberFormat="1" applyFont="1" applyFill="1" applyBorder="1" applyAlignment="1">
      <alignment vertical="top" wrapText="1"/>
    </xf>
    <xf numFmtId="49" fontId="1" fillId="6" borderId="2" xfId="0" applyNumberFormat="1" applyFont="1" applyFill="1" applyBorder="1" applyAlignment="1">
      <alignment vertical="top" wrapText="1"/>
    </xf>
    <xf numFmtId="49" fontId="22" fillId="6" borderId="5" xfId="0" applyNumberFormat="1" applyFont="1" applyFill="1" applyBorder="1" applyAlignment="1">
      <alignment vertical="center" wrapText="1"/>
    </xf>
    <xf numFmtId="49" fontId="22" fillId="0" borderId="4" xfId="0" applyNumberFormat="1" applyFont="1" applyBorder="1" applyAlignment="1">
      <alignment vertical="center" wrapText="1"/>
    </xf>
    <xf numFmtId="49" fontId="1" fillId="5" borderId="2" xfId="0" applyNumberFormat="1" applyFont="1" applyFill="1" applyBorder="1" applyAlignment="1">
      <alignment vertical="center" wrapText="1"/>
    </xf>
    <xf numFmtId="0" fontId="10" fillId="0" borderId="2" xfId="0" applyFont="1" applyBorder="1" applyAlignment="1">
      <alignment horizontal="left" vertical="center" wrapText="1"/>
    </xf>
    <xf numFmtId="0" fontId="7" fillId="0" borderId="3" xfId="0" applyFont="1" applyBorder="1" applyAlignment="1">
      <alignment vertical="center" wrapText="1"/>
    </xf>
    <xf numFmtId="4" fontId="4" fillId="5" borderId="2" xfId="0" applyNumberFormat="1" applyFont="1" applyFill="1" applyBorder="1" applyAlignment="1">
      <alignment horizontal="center" vertical="center" wrapText="1"/>
    </xf>
    <xf numFmtId="0" fontId="11" fillId="5" borderId="2" xfId="0" applyFont="1" applyFill="1" applyBorder="1" applyAlignment="1">
      <alignment horizontal="center" vertical="center" wrapText="1"/>
    </xf>
    <xf numFmtId="49" fontId="4" fillId="5" borderId="2" xfId="0" applyNumberFormat="1" applyFont="1" applyFill="1" applyBorder="1" applyAlignment="1">
      <alignment horizontal="center" vertical="center" wrapText="1"/>
    </xf>
    <xf numFmtId="0" fontId="15" fillId="0" borderId="2" xfId="0" applyFont="1" applyBorder="1" applyAlignment="1">
      <alignment horizontal="left" vertical="center" wrapText="1"/>
    </xf>
    <xf numFmtId="0" fontId="5" fillId="0" borderId="2" xfId="0" applyFont="1" applyBorder="1" applyAlignment="1">
      <alignment vertical="center" wrapText="1"/>
    </xf>
    <xf numFmtId="49" fontId="10" fillId="0" borderId="2" xfId="0" applyNumberFormat="1" applyFont="1" applyBorder="1" applyAlignment="1">
      <alignment vertical="center" wrapText="1"/>
    </xf>
    <xf numFmtId="0" fontId="10" fillId="0" borderId="2" xfId="0" applyFont="1" applyBorder="1" applyAlignment="1">
      <alignment vertical="center" wrapText="1"/>
    </xf>
    <xf numFmtId="0" fontId="27" fillId="0" borderId="2" xfId="0" applyFont="1" applyBorder="1" applyAlignment="1">
      <alignment vertical="center" wrapText="1"/>
    </xf>
    <xf numFmtId="0" fontId="1" fillId="0" borderId="0" xfId="0" applyFont="1" applyAlignment="1">
      <alignment horizontal="center"/>
    </xf>
    <xf numFmtId="0" fontId="4" fillId="0" borderId="0" xfId="0" applyFont="1" applyAlignment="1">
      <alignment horizontal="center"/>
    </xf>
    <xf numFmtId="0" fontId="2" fillId="0" borderId="0" xfId="0" applyFont="1" applyAlignment="1"/>
    <xf numFmtId="0" fontId="2" fillId="0" borderId="1" xfId="0" applyFont="1" applyBorder="1" applyAlignment="1">
      <alignment horizontal="center"/>
    </xf>
    <xf numFmtId="0" fontId="2" fillId="0" borderId="8" xfId="0" applyFont="1" applyBorder="1" applyAlignment="1">
      <alignment horizontal="center"/>
    </xf>
    <xf numFmtId="0" fontId="2" fillId="0" borderId="0" xfId="0" applyFont="1" applyAlignment="1">
      <alignment horizontal="center"/>
    </xf>
    <xf numFmtId="0" fontId="20" fillId="0" borderId="0" xfId="0" applyFont="1" applyAlignment="1">
      <alignment horizontal="center"/>
    </xf>
    <xf numFmtId="0" fontId="2" fillId="0" borderId="0" xfId="0" applyFont="1" applyBorder="1" applyAlignment="1">
      <alignment horizontal="left"/>
    </xf>
    <xf numFmtId="0" fontId="2" fillId="0" borderId="0" xfId="0" applyFont="1" applyAlignment="1">
      <alignment horizontal="left"/>
    </xf>
    <xf numFmtId="0" fontId="20" fillId="0" borderId="0" xfId="0" applyFont="1" applyAlignment="1">
      <alignment horizontal="center" vertical="center"/>
    </xf>
    <xf numFmtId="0" fontId="1" fillId="0" borderId="8" xfId="0" applyFont="1" applyBorder="1" applyAlignment="1">
      <alignment horizontal="center"/>
    </xf>
    <xf numFmtId="0" fontId="2" fillId="0" borderId="1" xfId="0" applyFont="1" applyBorder="1" applyAlignment="1"/>
    <xf numFmtId="0" fontId="2" fillId="0" borderId="1" xfId="0" applyFont="1" applyBorder="1" applyAlignment="1">
      <alignment horizontal="center" wrapText="1"/>
    </xf>
    <xf numFmtId="0" fontId="1" fillId="0" borderId="0" xfId="0" applyFont="1" applyAlignment="1">
      <alignment horizontal="right"/>
    </xf>
    <xf numFmtId="0" fontId="2" fillId="0" borderId="0" xfId="0" applyFont="1" applyBorder="1" applyAlignment="1">
      <alignment horizontal="center"/>
    </xf>
    <xf numFmtId="0" fontId="2" fillId="0" borderId="8"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5" fillId="0" borderId="0" xfId="0" applyFont="1" applyAlignment="1">
      <alignment horizontal="left" vertical="top"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49" fontId="22" fillId="0" borderId="2" xfId="0" applyNumberFormat="1" applyFont="1" applyBorder="1" applyAlignment="1">
      <alignment vertical="center" wrapText="1"/>
    </xf>
    <xf numFmtId="0" fontId="7" fillId="0" borderId="2" xfId="0" applyFont="1" applyBorder="1" applyAlignment="1">
      <alignment horizontal="left" vertical="center" wrapText="1"/>
    </xf>
    <xf numFmtId="49" fontId="22" fillId="0" borderId="4" xfId="0" applyNumberFormat="1" applyFont="1" applyBorder="1" applyAlignment="1">
      <alignment vertical="center" wrapText="1"/>
    </xf>
    <xf numFmtId="49" fontId="22" fillId="0" borderId="5" xfId="0" applyNumberFormat="1" applyFont="1" applyBorder="1" applyAlignment="1">
      <alignment vertical="center" wrapText="1"/>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7" fillId="0" borderId="4" xfId="0" applyFont="1" applyBorder="1" applyAlignment="1">
      <alignment horizontal="left" vertical="center" wrapText="1"/>
    </xf>
    <xf numFmtId="49" fontId="22" fillId="0" borderId="3" xfId="0" applyNumberFormat="1" applyFont="1" applyBorder="1" applyAlignment="1">
      <alignment vertical="center" wrapText="1"/>
    </xf>
    <xf numFmtId="0" fontId="10" fillId="0" borderId="3" xfId="0" applyFont="1" applyBorder="1" applyAlignment="1">
      <alignment horizontal="left" vertical="center" wrapText="1"/>
    </xf>
    <xf numFmtId="0" fontId="15" fillId="0" borderId="3"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5" fillId="0" borderId="2" xfId="0" applyFont="1" applyBorder="1" applyAlignment="1">
      <alignment horizontal="left" vertical="center" wrapText="1"/>
    </xf>
    <xf numFmtId="49" fontId="21" fillId="5" borderId="7" xfId="0" applyNumberFormat="1" applyFont="1" applyFill="1" applyBorder="1" applyAlignment="1">
      <alignment horizontal="center" vertical="center" wrapText="1"/>
    </xf>
    <xf numFmtId="49" fontId="21" fillId="5" borderId="9" xfId="0" applyNumberFormat="1" applyFont="1" applyFill="1" applyBorder="1" applyAlignment="1">
      <alignment horizontal="center" vertical="center" wrapText="1"/>
    </xf>
    <xf numFmtId="49" fontId="21" fillId="5" borderId="10" xfId="0" applyNumberFormat="1" applyFont="1" applyFill="1" applyBorder="1" applyAlignment="1">
      <alignment horizontal="center" vertical="center" wrapText="1"/>
    </xf>
    <xf numFmtId="0" fontId="5" fillId="0" borderId="2" xfId="0" applyFont="1" applyBorder="1" applyAlignment="1">
      <alignment horizontal="center" vertical="top" wrapText="1"/>
    </xf>
    <xf numFmtId="0" fontId="12" fillId="0" borderId="6" xfId="0" applyFont="1" applyBorder="1" applyAlignment="1">
      <alignment horizontal="center" vertical="top" wrapText="1"/>
    </xf>
    <xf numFmtId="0" fontId="5" fillId="0" borderId="3" xfId="0" applyFont="1" applyBorder="1" applyAlignment="1">
      <alignment horizontal="center" vertical="top" wrapText="1"/>
    </xf>
    <xf numFmtId="0" fontId="5" fillId="0" borderId="5" xfId="0" applyFont="1" applyBorder="1" applyAlignment="1">
      <alignment horizontal="center" vertical="top"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10" fillId="0" borderId="2" xfId="0" applyFont="1" applyBorder="1" applyAlignment="1">
      <alignment vertical="top" wrapText="1"/>
    </xf>
    <xf numFmtId="0" fontId="11" fillId="0" borderId="2" xfId="0" applyFont="1" applyBorder="1" applyAlignment="1">
      <alignment horizontal="left" vertical="center" wrapText="1"/>
    </xf>
  </cellXfs>
  <cellStyles count="1">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10</xdr:col>
      <xdr:colOff>83560</xdr:colOff>
      <xdr:row>4</xdr:row>
      <xdr:rowOff>1485900</xdr:rowOff>
    </xdr:from>
    <xdr:to>
      <xdr:col>10</xdr:col>
      <xdr:colOff>1209675</xdr:colOff>
      <xdr:row>4</xdr:row>
      <xdr:rowOff>1647825</xdr:rowOff>
    </xdr:to>
    <xdr:pic>
      <xdr:nvPicPr>
        <xdr:cNvPr id="1025" name="Рисунок 1"/>
        <xdr:cNvPicPr>
          <a:picLocks noChangeAspect="1" noChangeArrowheads="1"/>
        </xdr:cNvPicPr>
      </xdr:nvPicPr>
      <xdr:blipFill>
        <a:blip xmlns:r="http://schemas.openxmlformats.org/officeDocument/2006/relationships" r:embed="rId1"/>
        <a:srcRect/>
        <a:stretch>
          <a:fillRect/>
        </a:stretch>
      </xdr:blipFill>
      <xdr:spPr bwMode="auto">
        <a:xfrm>
          <a:off x="11942185" y="2286000"/>
          <a:ext cx="1126115" cy="161925"/>
        </a:xfrm>
        <a:prstGeom prst="rect">
          <a:avLst/>
        </a:prstGeom>
        <a:no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workbookViewId="0">
      <selection activeCell="D48" sqref="D48"/>
    </sheetView>
  </sheetViews>
  <sheetFormatPr defaultRowHeight="15" x14ac:dyDescent="0.25"/>
  <cols>
    <col min="1" max="1" width="7.7109375" customWidth="1"/>
    <col min="8" max="8" width="14.7109375" customWidth="1"/>
    <col min="9" max="9" width="38.5703125" customWidth="1"/>
  </cols>
  <sheetData>
    <row r="1" spans="7:13" ht="15" customHeight="1" x14ac:dyDescent="0.25">
      <c r="I1" s="151" t="s">
        <v>0</v>
      </c>
      <c r="J1" s="151"/>
      <c r="K1" s="151"/>
      <c r="L1" s="151"/>
      <c r="M1" s="151"/>
    </row>
    <row r="2" spans="7:13" ht="15" customHeight="1" x14ac:dyDescent="0.25">
      <c r="I2" s="151" t="s">
        <v>1</v>
      </c>
      <c r="J2" s="151"/>
      <c r="K2" s="151"/>
      <c r="L2" s="151"/>
      <c r="M2" s="151"/>
    </row>
    <row r="3" spans="7:13" ht="15" customHeight="1" x14ac:dyDescent="0.25">
      <c r="I3" s="151" t="s">
        <v>2</v>
      </c>
      <c r="J3" s="151"/>
      <c r="K3" s="151"/>
      <c r="L3" s="151"/>
      <c r="M3" s="151"/>
    </row>
    <row r="4" spans="7:13" ht="15" customHeight="1" x14ac:dyDescent="0.25">
      <c r="I4" s="151" t="s">
        <v>3</v>
      </c>
      <c r="J4" s="151"/>
      <c r="K4" s="151"/>
      <c r="L4" s="151"/>
      <c r="M4" s="151"/>
    </row>
    <row r="5" spans="7:13" ht="15" customHeight="1" x14ac:dyDescent="0.25">
      <c r="I5" s="151" t="s">
        <v>4</v>
      </c>
      <c r="J5" s="151"/>
      <c r="K5" s="151"/>
      <c r="L5" s="151"/>
      <c r="M5" s="151"/>
    </row>
    <row r="6" spans="7:13" ht="15" customHeight="1" x14ac:dyDescent="0.25">
      <c r="I6" s="151" t="s">
        <v>5</v>
      </c>
      <c r="J6" s="151"/>
      <c r="K6" s="151"/>
      <c r="L6" s="151"/>
      <c r="M6" s="151"/>
    </row>
    <row r="7" spans="7:13" ht="15" customHeight="1" x14ac:dyDescent="0.25">
      <c r="I7" s="151" t="s">
        <v>6</v>
      </c>
      <c r="J7" s="151"/>
      <c r="K7" s="151"/>
      <c r="L7" s="151"/>
      <c r="M7" s="151"/>
    </row>
    <row r="9" spans="7:13" x14ac:dyDescent="0.25">
      <c r="G9" s="143" t="s">
        <v>7</v>
      </c>
      <c r="H9" s="143"/>
      <c r="I9" s="143"/>
    </row>
    <row r="10" spans="7:13" x14ac:dyDescent="0.25">
      <c r="H10" s="1"/>
    </row>
    <row r="11" spans="7:13" ht="26.25" customHeight="1" x14ac:dyDescent="0.25">
      <c r="G11" s="152" t="s">
        <v>122</v>
      </c>
      <c r="H11" s="152"/>
      <c r="I11" s="152"/>
    </row>
    <row r="12" spans="7:13" ht="19.5" customHeight="1" x14ac:dyDescent="0.25">
      <c r="G12" s="153" t="s">
        <v>10</v>
      </c>
      <c r="H12" s="153"/>
      <c r="I12" s="153"/>
    </row>
    <row r="13" spans="7:13" x14ac:dyDescent="0.25">
      <c r="G13" s="143" t="s">
        <v>11</v>
      </c>
      <c r="H13" s="143"/>
      <c r="I13" s="143"/>
    </row>
    <row r="14" spans="7:13" x14ac:dyDescent="0.25">
      <c r="G14" s="143" t="s">
        <v>12</v>
      </c>
      <c r="H14" s="143"/>
      <c r="I14" s="143"/>
    </row>
    <row r="15" spans="7:13" ht="36.75" customHeight="1" x14ac:dyDescent="0.25">
      <c r="G15" s="149" t="s">
        <v>123</v>
      </c>
      <c r="H15" s="149"/>
      <c r="I15" s="149"/>
    </row>
    <row r="16" spans="7:13" x14ac:dyDescent="0.25">
      <c r="G16" s="142" t="s">
        <v>13</v>
      </c>
      <c r="H16" s="142"/>
      <c r="I16" s="142"/>
    </row>
    <row r="17" spans="7:10" x14ac:dyDescent="0.25">
      <c r="H17" s="1"/>
    </row>
    <row r="18" spans="7:10" x14ac:dyDescent="0.25">
      <c r="G18" s="143" t="s">
        <v>177</v>
      </c>
      <c r="H18" s="143"/>
      <c r="I18" s="143"/>
    </row>
    <row r="19" spans="7:10" ht="29.25" customHeight="1" x14ac:dyDescent="0.25">
      <c r="H19" s="1"/>
    </row>
    <row r="20" spans="7:10" x14ac:dyDescent="0.25">
      <c r="G20" s="143" t="s">
        <v>14</v>
      </c>
      <c r="H20" s="143"/>
      <c r="I20" s="143"/>
    </row>
    <row r="21" spans="7:10" x14ac:dyDescent="0.25">
      <c r="H21" s="1"/>
    </row>
    <row r="22" spans="7:10" ht="26.25" customHeight="1" x14ac:dyDescent="0.25">
      <c r="G22" s="150" t="s">
        <v>171</v>
      </c>
      <c r="H22" s="150"/>
      <c r="I22" s="150"/>
    </row>
    <row r="23" spans="7:10" x14ac:dyDescent="0.25">
      <c r="G23" s="145" t="s">
        <v>172</v>
      </c>
      <c r="H23" s="145"/>
      <c r="I23" s="145"/>
      <c r="J23" s="145"/>
    </row>
    <row r="24" spans="7:10" x14ac:dyDescent="0.25">
      <c r="G24" s="146" t="s">
        <v>173</v>
      </c>
      <c r="H24" s="146"/>
      <c r="I24" s="146"/>
      <c r="J24" s="146"/>
    </row>
    <row r="25" spans="7:10" x14ac:dyDescent="0.25">
      <c r="G25" s="146" t="s">
        <v>174</v>
      </c>
      <c r="H25" s="146"/>
      <c r="I25" s="146"/>
      <c r="J25" s="146"/>
    </row>
    <row r="26" spans="7:10" x14ac:dyDescent="0.25">
      <c r="G26" s="140" t="s">
        <v>12</v>
      </c>
      <c r="H26" s="140"/>
      <c r="I26" s="140"/>
    </row>
    <row r="27" spans="7:10" ht="33" customHeight="1" x14ac:dyDescent="0.25">
      <c r="G27" s="141" t="s">
        <v>170</v>
      </c>
      <c r="H27" s="141"/>
      <c r="I27" s="141"/>
    </row>
    <row r="28" spans="7:10" x14ac:dyDescent="0.25">
      <c r="G28" s="142" t="s">
        <v>13</v>
      </c>
      <c r="H28" s="142"/>
      <c r="I28" s="142"/>
    </row>
    <row r="29" spans="7:10" x14ac:dyDescent="0.25">
      <c r="H29" s="1"/>
    </row>
    <row r="30" spans="7:10" x14ac:dyDescent="0.25">
      <c r="G30" s="143"/>
      <c r="H30" s="143"/>
      <c r="I30" s="143"/>
    </row>
    <row r="33" spans="1:13" ht="19.5" customHeight="1" x14ac:dyDescent="0.3">
      <c r="A33" s="144" t="s">
        <v>8</v>
      </c>
      <c r="B33" s="144"/>
      <c r="C33" s="144"/>
      <c r="D33" s="144"/>
      <c r="E33" s="144"/>
      <c r="F33" s="144"/>
      <c r="G33" s="144"/>
      <c r="H33" s="144"/>
      <c r="I33" s="144"/>
      <c r="J33" s="144"/>
      <c r="K33" s="144"/>
      <c r="L33" s="144"/>
      <c r="M33" s="144"/>
    </row>
    <row r="34" spans="1:13" ht="25.5" customHeight="1" x14ac:dyDescent="0.25">
      <c r="A34" s="147" t="s">
        <v>50</v>
      </c>
      <c r="B34" s="147"/>
      <c r="C34" s="147"/>
      <c r="D34" s="147"/>
      <c r="E34" s="147"/>
      <c r="F34" s="147"/>
      <c r="G34" s="147"/>
      <c r="H34" s="147"/>
      <c r="I34" s="147"/>
      <c r="J34" s="147"/>
      <c r="K34" s="147"/>
      <c r="L34" s="147"/>
      <c r="M34" s="147"/>
    </row>
    <row r="35" spans="1:13" ht="15.75" x14ac:dyDescent="0.25">
      <c r="A35" s="148" t="s">
        <v>9</v>
      </c>
      <c r="B35" s="148"/>
      <c r="C35" s="148"/>
      <c r="D35" s="148"/>
      <c r="E35" s="148"/>
      <c r="F35" s="148"/>
      <c r="G35" s="148"/>
      <c r="H35" s="148"/>
      <c r="I35" s="148"/>
      <c r="J35" s="148"/>
      <c r="K35" s="148"/>
      <c r="L35" s="148"/>
      <c r="M35" s="148"/>
    </row>
    <row r="36" spans="1:13" ht="15.75" x14ac:dyDescent="0.25">
      <c r="A36" s="2"/>
    </row>
    <row r="37" spans="1:13" ht="15.75" x14ac:dyDescent="0.25">
      <c r="A37" s="138" t="s">
        <v>227</v>
      </c>
      <c r="B37" s="138"/>
      <c r="C37" s="138"/>
      <c r="D37" s="138"/>
      <c r="E37" s="138"/>
      <c r="F37" s="138"/>
      <c r="G37" s="138"/>
      <c r="H37" s="138"/>
      <c r="I37" s="138"/>
      <c r="J37" s="138"/>
      <c r="K37" s="138"/>
      <c r="L37" s="138"/>
      <c r="M37" s="138"/>
    </row>
    <row r="38" spans="1:13" ht="15.75" x14ac:dyDescent="0.25">
      <c r="A38" s="139" t="s">
        <v>226</v>
      </c>
      <c r="B38" s="139"/>
      <c r="C38" s="139"/>
      <c r="D38" s="139"/>
      <c r="E38" s="139"/>
      <c r="F38" s="139"/>
      <c r="G38" s="139"/>
      <c r="H38" s="139"/>
      <c r="I38" s="139"/>
      <c r="J38" s="139"/>
      <c r="K38" s="139"/>
      <c r="L38" s="139"/>
      <c r="M38" s="139"/>
    </row>
  </sheetData>
  <mergeCells count="29">
    <mergeCell ref="G14:I14"/>
    <mergeCell ref="I1:M1"/>
    <mergeCell ref="I2:M2"/>
    <mergeCell ref="I3:M3"/>
    <mergeCell ref="I4:M4"/>
    <mergeCell ref="I5:M5"/>
    <mergeCell ref="I6:M6"/>
    <mergeCell ref="I7:M7"/>
    <mergeCell ref="G9:I9"/>
    <mergeCell ref="G11:I11"/>
    <mergeCell ref="G12:I12"/>
    <mergeCell ref="G13:I13"/>
    <mergeCell ref="G15:I15"/>
    <mergeCell ref="G16:I16"/>
    <mergeCell ref="G18:I18"/>
    <mergeCell ref="G20:I20"/>
    <mergeCell ref="G22:I22"/>
    <mergeCell ref="G23:J23"/>
    <mergeCell ref="G24:J24"/>
    <mergeCell ref="G25:J25"/>
    <mergeCell ref="A34:M34"/>
    <mergeCell ref="A35:M35"/>
    <mergeCell ref="A37:M37"/>
    <mergeCell ref="A38:M38"/>
    <mergeCell ref="G26:I26"/>
    <mergeCell ref="G27:I27"/>
    <mergeCell ref="G28:I28"/>
    <mergeCell ref="G30:I30"/>
    <mergeCell ref="A33:M33"/>
  </mergeCells>
  <pageMargins left="0.70866141732283472" right="0.70866141732283472" top="0.74803149606299213" bottom="0.74803149606299213" header="0.31496062992125984" footer="0.31496062992125984"/>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6"/>
  <sheetViews>
    <sheetView tabSelected="1" zoomScale="70" zoomScaleNormal="70" workbookViewId="0">
      <selection activeCell="G14" sqref="G14"/>
    </sheetView>
  </sheetViews>
  <sheetFormatPr defaultRowHeight="15" x14ac:dyDescent="0.25"/>
  <cols>
    <col min="1" max="1" width="51.85546875" customWidth="1"/>
    <col min="2" max="2" width="20.140625" customWidth="1"/>
    <col min="3" max="3" width="19.28515625" customWidth="1"/>
    <col min="4" max="4" width="19.85546875" customWidth="1"/>
    <col min="5" max="5" width="27.42578125" customWidth="1"/>
    <col min="6" max="6" width="16.85546875" customWidth="1"/>
    <col min="7" max="7" width="92.28515625" customWidth="1"/>
    <col min="8" max="8" width="1.140625" customWidth="1"/>
    <col min="9" max="9" width="13.28515625" hidden="1" customWidth="1"/>
    <col min="10" max="10" width="12" bestFit="1" customWidth="1"/>
  </cols>
  <sheetData>
    <row r="2" spans="1:10" ht="15.75" x14ac:dyDescent="0.25">
      <c r="A2" s="2"/>
    </row>
    <row r="3" spans="1:10" ht="18.75" x14ac:dyDescent="0.3">
      <c r="A3" s="144" t="s">
        <v>15</v>
      </c>
      <c r="B3" s="144"/>
      <c r="C3" s="144"/>
      <c r="D3" s="144"/>
      <c r="E3" s="144"/>
      <c r="F3" s="144"/>
      <c r="G3" s="144"/>
    </row>
    <row r="4" spans="1:10" ht="18.75" x14ac:dyDescent="0.3">
      <c r="A4" s="144" t="s">
        <v>16</v>
      </c>
      <c r="B4" s="144"/>
      <c r="C4" s="144"/>
      <c r="D4" s="144"/>
      <c r="E4" s="144"/>
      <c r="F4" s="144"/>
      <c r="G4" s="144"/>
    </row>
    <row r="5" spans="1:10" ht="15.75" x14ac:dyDescent="0.25">
      <c r="A5" s="2"/>
    </row>
    <row r="6" spans="1:10" ht="207" customHeight="1" x14ac:dyDescent="0.25">
      <c r="A6" s="24" t="s">
        <v>22</v>
      </c>
      <c r="B6" s="24" t="s">
        <v>18</v>
      </c>
      <c r="C6" s="24" t="s">
        <v>19</v>
      </c>
      <c r="D6" s="24" t="s">
        <v>209</v>
      </c>
      <c r="E6" s="24" t="s">
        <v>20</v>
      </c>
      <c r="F6" s="24" t="s">
        <v>85</v>
      </c>
      <c r="G6" s="24" t="s">
        <v>21</v>
      </c>
    </row>
    <row r="7" spans="1:10" s="105" customFormat="1" ht="12.95" customHeight="1" x14ac:dyDescent="0.2">
      <c r="A7" s="104">
        <v>1</v>
      </c>
      <c r="B7" s="104">
        <v>2</v>
      </c>
      <c r="C7" s="104">
        <v>3</v>
      </c>
      <c r="D7" s="104">
        <v>4</v>
      </c>
      <c r="E7" s="104">
        <v>5</v>
      </c>
      <c r="F7" s="104">
        <v>6</v>
      </c>
      <c r="G7" s="104">
        <v>7</v>
      </c>
      <c r="I7" s="106"/>
    </row>
    <row r="8" spans="1:10" ht="90.75" customHeight="1" x14ac:dyDescent="0.25">
      <c r="A8" s="185" t="s">
        <v>242</v>
      </c>
      <c r="B8" s="23">
        <f>11466247.13</f>
        <v>11466247.130000001</v>
      </c>
      <c r="C8" s="8">
        <v>0</v>
      </c>
      <c r="D8" s="8">
        <v>0</v>
      </c>
      <c r="E8" s="72">
        <v>6477666.9699999997</v>
      </c>
      <c r="F8" s="7">
        <f t="shared" ref="F8" si="0">E8/(B8+C8+D8)</f>
        <v>0.56493348665510568</v>
      </c>
      <c r="G8" s="34" t="s">
        <v>251</v>
      </c>
      <c r="I8" s="27">
        <f>B8-E8</f>
        <v>4988580.1600000011</v>
      </c>
      <c r="J8" s="22"/>
    </row>
    <row r="9" spans="1:10" ht="93.75" customHeight="1" x14ac:dyDescent="0.25">
      <c r="A9" s="185" t="s">
        <v>243</v>
      </c>
      <c r="B9" s="23">
        <v>8472898.6699999999</v>
      </c>
      <c r="C9" s="8">
        <v>0</v>
      </c>
      <c r="D9" s="8">
        <v>0</v>
      </c>
      <c r="E9" s="72">
        <v>5662990.8099999996</v>
      </c>
      <c r="F9" s="7">
        <f>E9/(B9+C9+D9)</f>
        <v>0.66836522311437008</v>
      </c>
      <c r="G9" s="34" t="s">
        <v>252</v>
      </c>
      <c r="I9" s="27">
        <f t="shared" ref="I9:I15" si="1">B9-E9</f>
        <v>2809907.8600000003</v>
      </c>
    </row>
    <row r="10" spans="1:10" ht="85.5" customHeight="1" x14ac:dyDescent="0.25">
      <c r="A10" s="185" t="s">
        <v>246</v>
      </c>
      <c r="B10" s="23">
        <v>248000</v>
      </c>
      <c r="C10" s="8">
        <v>0</v>
      </c>
      <c r="D10" s="8">
        <v>0</v>
      </c>
      <c r="E10" s="72">
        <v>179490.03</v>
      </c>
      <c r="F10" s="7">
        <f t="shared" ref="F10" si="2">E10/(B10+C10+D10)</f>
        <v>0.72375012096774194</v>
      </c>
      <c r="G10" s="34" t="s">
        <v>245</v>
      </c>
      <c r="I10" s="27">
        <f t="shared" si="1"/>
        <v>68509.97</v>
      </c>
    </row>
    <row r="11" spans="1:10" s="9" customFormat="1" ht="114" customHeight="1" x14ac:dyDescent="0.25">
      <c r="A11" s="42" t="s">
        <v>86</v>
      </c>
      <c r="B11" s="23">
        <v>9161700</v>
      </c>
      <c r="C11" s="8">
        <v>0</v>
      </c>
      <c r="D11" s="8">
        <v>0</v>
      </c>
      <c r="E11" s="72">
        <v>4295037.07</v>
      </c>
      <c r="F11" s="7">
        <f t="shared" ref="F11:F15" si="3">E11/(B11+C11+D11)</f>
        <v>0.46880350480805966</v>
      </c>
      <c r="G11" s="34" t="s">
        <v>244</v>
      </c>
      <c r="I11" s="27">
        <f t="shared" si="1"/>
        <v>4866662.93</v>
      </c>
    </row>
    <row r="12" spans="1:10" ht="102.75" customHeight="1" x14ac:dyDescent="0.25">
      <c r="A12" s="185" t="s">
        <v>248</v>
      </c>
      <c r="B12" s="23">
        <v>3219000</v>
      </c>
      <c r="C12" s="8">
        <v>0</v>
      </c>
      <c r="D12" s="8">
        <v>0</v>
      </c>
      <c r="E12" s="72">
        <v>2061169.59</v>
      </c>
      <c r="F12" s="7">
        <f t="shared" ref="F12:F13" si="4">E12/(B12+C12+D12)</f>
        <v>0.64031363466915192</v>
      </c>
      <c r="G12" s="34" t="s">
        <v>247</v>
      </c>
      <c r="I12" s="27">
        <f t="shared" si="1"/>
        <v>1157830.4099999999</v>
      </c>
    </row>
    <row r="13" spans="1:10" ht="105.75" customHeight="1" x14ac:dyDescent="0.25">
      <c r="A13" s="186" t="s">
        <v>253</v>
      </c>
      <c r="B13" s="23">
        <v>1485050</v>
      </c>
      <c r="C13" s="8">
        <v>0</v>
      </c>
      <c r="D13" s="8">
        <v>0</v>
      </c>
      <c r="E13" s="72">
        <v>964822.45</v>
      </c>
      <c r="F13" s="7">
        <f t="shared" si="4"/>
        <v>0.6496902124507592</v>
      </c>
      <c r="G13" s="36" t="s">
        <v>254</v>
      </c>
      <c r="I13" s="27">
        <f t="shared" si="1"/>
        <v>520227.55000000005</v>
      </c>
    </row>
    <row r="14" spans="1:10" s="28" customFormat="1" ht="73.5" customHeight="1" x14ac:dyDescent="0.25">
      <c r="A14" s="186" t="s">
        <v>250</v>
      </c>
      <c r="B14" s="23">
        <v>380205</v>
      </c>
      <c r="C14" s="8">
        <v>0</v>
      </c>
      <c r="D14" s="8">
        <v>0</v>
      </c>
      <c r="E14" s="72">
        <v>172406.08</v>
      </c>
      <c r="F14" s="7">
        <f t="shared" si="3"/>
        <v>0.453455583172236</v>
      </c>
      <c r="G14" s="34" t="s">
        <v>249</v>
      </c>
      <c r="I14" s="27">
        <f t="shared" si="1"/>
        <v>207798.92</v>
      </c>
    </row>
    <row r="15" spans="1:10" ht="27.75" customHeight="1" x14ac:dyDescent="0.25">
      <c r="A15" s="33" t="s">
        <v>87</v>
      </c>
      <c r="B15" s="37">
        <f>SUM(B8:B14)</f>
        <v>34433100.799999997</v>
      </c>
      <c r="C15" s="37">
        <f>SUM(C8:C14)</f>
        <v>0</v>
      </c>
      <c r="D15" s="37">
        <f>SUM(D8:D14)</f>
        <v>0</v>
      </c>
      <c r="E15" s="75">
        <f>SUM(E8:E14)</f>
        <v>19813582.999999996</v>
      </c>
      <c r="F15" s="21">
        <f t="shared" si="3"/>
        <v>0.5754225596783894</v>
      </c>
      <c r="G15" s="35"/>
      <c r="I15" s="27">
        <f t="shared" si="1"/>
        <v>14619517.800000001</v>
      </c>
    </row>
    <row r="16" spans="1:10" x14ac:dyDescent="0.25">
      <c r="I16" s="22">
        <f>I14+I13+I12+I11+I10+I9+I8</f>
        <v>14619517.800000001</v>
      </c>
    </row>
  </sheetData>
  <mergeCells count="2">
    <mergeCell ref="A3:G3"/>
    <mergeCell ref="A4:G4"/>
  </mergeCells>
  <pageMargins left="0.70866141732283472" right="0.70866141732283472" top="0.74803149606299213" bottom="0.39370078740157483" header="0.31496062992125984" footer="0.31496062992125984"/>
  <pageSetup paperSize="9" scale="5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27"/>
  <sheetViews>
    <sheetView topLeftCell="C19" zoomScale="70" zoomScaleNormal="70" workbookViewId="0">
      <selection activeCell="M22" sqref="M22"/>
    </sheetView>
  </sheetViews>
  <sheetFormatPr defaultRowHeight="15" x14ac:dyDescent="0.25"/>
  <cols>
    <col min="1" max="1" width="5.140625" customWidth="1"/>
    <col min="2" max="2" width="30.7109375" style="4" customWidth="1"/>
    <col min="3" max="3" width="50.28515625" customWidth="1"/>
    <col min="4" max="4" width="24.5703125" customWidth="1"/>
    <col min="5" max="5" width="17" customWidth="1"/>
    <col min="6" max="6" width="14.5703125" customWidth="1"/>
    <col min="7" max="7" width="19" style="94" customWidth="1"/>
    <col min="8" max="8" width="18.7109375" style="94" customWidth="1"/>
    <col min="9" max="9" width="15.140625" customWidth="1"/>
    <col min="10" max="10" width="21.7109375" style="94" customWidth="1"/>
    <col min="11" max="11" width="20.28515625" customWidth="1"/>
    <col min="12" max="12" width="14.7109375" customWidth="1"/>
    <col min="13" max="13" width="22.5703125" customWidth="1"/>
  </cols>
  <sheetData>
    <row r="2" spans="1:13" ht="15.75" x14ac:dyDescent="0.25">
      <c r="A2" s="139" t="s">
        <v>23</v>
      </c>
      <c r="B2" s="139"/>
      <c r="C2" s="139"/>
      <c r="D2" s="139"/>
      <c r="E2" s="139"/>
      <c r="F2" s="139"/>
      <c r="G2" s="139"/>
      <c r="H2" s="139"/>
      <c r="I2" s="139"/>
      <c r="J2" s="139"/>
      <c r="K2" s="139"/>
      <c r="L2" s="139"/>
      <c r="M2" s="139"/>
    </row>
    <row r="3" spans="1:13" ht="15.75" x14ac:dyDescent="0.25">
      <c r="A3" s="139" t="s">
        <v>24</v>
      </c>
      <c r="B3" s="139"/>
      <c r="C3" s="139"/>
      <c r="D3" s="139"/>
      <c r="E3" s="139"/>
      <c r="F3" s="139"/>
      <c r="G3" s="139"/>
      <c r="H3" s="139"/>
      <c r="I3" s="139"/>
      <c r="J3" s="139"/>
      <c r="K3" s="139"/>
      <c r="L3" s="139"/>
      <c r="M3" s="139"/>
    </row>
    <row r="4" spans="1:13" ht="15.75" x14ac:dyDescent="0.25">
      <c r="A4" s="2"/>
    </row>
    <row r="5" spans="1:13" ht="180.75" customHeight="1" x14ac:dyDescent="0.25">
      <c r="A5" s="5" t="s">
        <v>17</v>
      </c>
      <c r="B5" s="119" t="s">
        <v>25</v>
      </c>
      <c r="C5" s="5" t="s">
        <v>26</v>
      </c>
      <c r="D5" s="5" t="s">
        <v>186</v>
      </c>
      <c r="E5" s="5" t="s">
        <v>27</v>
      </c>
      <c r="F5" s="5" t="s">
        <v>28</v>
      </c>
      <c r="G5" s="101" t="s">
        <v>29</v>
      </c>
      <c r="H5" s="101" t="s">
        <v>30</v>
      </c>
      <c r="I5" s="5" t="s">
        <v>34</v>
      </c>
      <c r="J5" s="101" t="s">
        <v>35</v>
      </c>
      <c r="K5" s="5" t="s">
        <v>31</v>
      </c>
      <c r="L5" s="5" t="s">
        <v>32</v>
      </c>
      <c r="M5" s="5" t="s">
        <v>33</v>
      </c>
    </row>
    <row r="6" spans="1:13" ht="15.75" x14ac:dyDescent="0.25">
      <c r="A6" s="5">
        <v>1</v>
      </c>
      <c r="B6" s="119">
        <v>2</v>
      </c>
      <c r="C6" s="5">
        <v>3</v>
      </c>
      <c r="D6" s="5">
        <v>4</v>
      </c>
      <c r="E6" s="5">
        <v>5</v>
      </c>
      <c r="F6" s="5">
        <v>6</v>
      </c>
      <c r="G6" s="101">
        <v>7</v>
      </c>
      <c r="H6" s="101">
        <v>8</v>
      </c>
      <c r="I6" s="5">
        <v>9</v>
      </c>
      <c r="J6" s="101">
        <v>10</v>
      </c>
      <c r="K6" s="5">
        <v>11</v>
      </c>
      <c r="L6" s="5">
        <v>12</v>
      </c>
      <c r="M6" s="5">
        <v>13</v>
      </c>
    </row>
    <row r="7" spans="1:13" ht="15.75" x14ac:dyDescent="0.25">
      <c r="A7" s="113"/>
      <c r="B7" s="120"/>
      <c r="C7" s="115" t="s">
        <v>179</v>
      </c>
      <c r="D7" s="115"/>
      <c r="E7" s="113"/>
      <c r="F7" s="113"/>
      <c r="G7" s="114"/>
      <c r="H7" s="114"/>
      <c r="I7" s="113"/>
      <c r="J7" s="114"/>
      <c r="K7" s="113"/>
      <c r="L7" s="116"/>
      <c r="M7" s="113"/>
    </row>
    <row r="8" spans="1:13" s="9" customFormat="1" ht="99.75" customHeight="1" x14ac:dyDescent="0.25">
      <c r="A8" s="7">
        <v>1</v>
      </c>
      <c r="B8" s="135" t="s">
        <v>188</v>
      </c>
      <c r="C8" s="136" t="s">
        <v>239</v>
      </c>
      <c r="D8" s="136" t="s">
        <v>187</v>
      </c>
      <c r="E8" s="98" t="s">
        <v>53</v>
      </c>
      <c r="F8" s="98" t="s">
        <v>82</v>
      </c>
      <c r="G8" s="98">
        <f>2150</f>
        <v>2150</v>
      </c>
      <c r="H8" s="98">
        <v>1151</v>
      </c>
      <c r="I8" s="76">
        <f>H8/G8</f>
        <v>0.53534883720930238</v>
      </c>
      <c r="J8" s="72">
        <v>580500</v>
      </c>
      <c r="K8" s="7">
        <f t="shared" ref="K8:K22" si="0">J8/$J$27</f>
        <v>2.2152176991933104E-2</v>
      </c>
      <c r="L8" s="154">
        <f>K8*I8+K9*I9+K10*I10+K11*I11+K16*I16+K12*I12+K13*I13+K17*I17+K18*I18+K19*I19+K20*I20+K21*I21+K24*I24+K25*I25+K26*I26+I22*K22+K14*I14+K15*I15</f>
        <v>0.64363536052834058</v>
      </c>
      <c r="M8" s="41" t="s">
        <v>166</v>
      </c>
    </row>
    <row r="9" spans="1:13" s="9" customFormat="1" ht="87.75" customHeight="1" x14ac:dyDescent="0.25">
      <c r="A9" s="7">
        <v>2</v>
      </c>
      <c r="B9" s="135" t="s">
        <v>188</v>
      </c>
      <c r="C9" s="136" t="s">
        <v>239</v>
      </c>
      <c r="D9" s="136" t="s">
        <v>187</v>
      </c>
      <c r="E9" s="98" t="s">
        <v>59</v>
      </c>
      <c r="F9" s="98" t="s">
        <v>82</v>
      </c>
      <c r="G9" s="98">
        <f>800</f>
        <v>800</v>
      </c>
      <c r="H9" s="98">
        <v>563</v>
      </c>
      <c r="I9" s="76">
        <f t="shared" ref="I9:I26" si="1">H9/G9</f>
        <v>0.70374999999999999</v>
      </c>
      <c r="J9" s="72">
        <v>316000</v>
      </c>
      <c r="K9" s="7">
        <f t="shared" si="0"/>
        <v>1.2058721670027323E-2</v>
      </c>
      <c r="L9" s="155"/>
      <c r="M9" s="41" t="s">
        <v>166</v>
      </c>
    </row>
    <row r="10" spans="1:13" s="9" customFormat="1" ht="90.75" customHeight="1" x14ac:dyDescent="0.25">
      <c r="A10" s="7">
        <v>3</v>
      </c>
      <c r="B10" s="135" t="s">
        <v>189</v>
      </c>
      <c r="C10" s="136" t="s">
        <v>240</v>
      </c>
      <c r="D10" s="136" t="s">
        <v>187</v>
      </c>
      <c r="E10" s="98" t="s">
        <v>53</v>
      </c>
      <c r="F10" s="98" t="s">
        <v>82</v>
      </c>
      <c r="G10" s="98">
        <f>2800</f>
        <v>2800</v>
      </c>
      <c r="H10" s="98">
        <v>1255</v>
      </c>
      <c r="I10" s="76">
        <f t="shared" si="1"/>
        <v>0.44821428571428573</v>
      </c>
      <c r="J10" s="72">
        <v>840000</v>
      </c>
      <c r="K10" s="7">
        <f t="shared" si="0"/>
        <v>3.2054829755768836E-2</v>
      </c>
      <c r="L10" s="155"/>
      <c r="M10" s="41" t="s">
        <v>164</v>
      </c>
    </row>
    <row r="11" spans="1:13" s="9" customFormat="1" ht="90" customHeight="1" x14ac:dyDescent="0.25">
      <c r="A11" s="7">
        <v>4</v>
      </c>
      <c r="B11" s="135" t="s">
        <v>189</v>
      </c>
      <c r="C11" s="136" t="s">
        <v>240</v>
      </c>
      <c r="D11" s="136" t="s">
        <v>187</v>
      </c>
      <c r="E11" s="98" t="s">
        <v>59</v>
      </c>
      <c r="F11" s="98" t="s">
        <v>82</v>
      </c>
      <c r="G11" s="98">
        <f>50</f>
        <v>50</v>
      </c>
      <c r="H11" s="98">
        <v>45</v>
      </c>
      <c r="I11" s="76">
        <f t="shared" si="1"/>
        <v>0.9</v>
      </c>
      <c r="J11" s="72">
        <v>20750</v>
      </c>
      <c r="K11" s="7">
        <f t="shared" si="0"/>
        <v>7.9183061599071827E-4</v>
      </c>
      <c r="L11" s="155"/>
      <c r="M11" s="41" t="s">
        <v>165</v>
      </c>
    </row>
    <row r="12" spans="1:13" s="9" customFormat="1" ht="87.75" customHeight="1" x14ac:dyDescent="0.25">
      <c r="A12" s="7">
        <v>5</v>
      </c>
      <c r="B12" s="135" t="s">
        <v>191</v>
      </c>
      <c r="C12" s="136" t="s">
        <v>234</v>
      </c>
      <c r="D12" s="136" t="s">
        <v>187</v>
      </c>
      <c r="E12" s="98" t="s">
        <v>53</v>
      </c>
      <c r="F12" s="98" t="s">
        <v>82</v>
      </c>
      <c r="G12" s="98">
        <f>6000</f>
        <v>6000</v>
      </c>
      <c r="H12" s="98">
        <v>3910</v>
      </c>
      <c r="I12" s="76">
        <f>H12/G12</f>
        <v>0.65166666666666662</v>
      </c>
      <c r="J12" s="72">
        <f>1500000</f>
        <v>1500000</v>
      </c>
      <c r="K12" s="7">
        <f t="shared" si="0"/>
        <v>5.7240767421015776E-2</v>
      </c>
      <c r="L12" s="155"/>
      <c r="M12" s="134" t="s">
        <v>168</v>
      </c>
    </row>
    <row r="13" spans="1:13" s="9" customFormat="1" ht="87.75" customHeight="1" x14ac:dyDescent="0.25">
      <c r="A13" s="7">
        <v>6</v>
      </c>
      <c r="B13" s="135" t="s">
        <v>191</v>
      </c>
      <c r="C13" s="136" t="s">
        <v>234</v>
      </c>
      <c r="D13" s="136" t="s">
        <v>187</v>
      </c>
      <c r="E13" s="98" t="s">
        <v>59</v>
      </c>
      <c r="F13" s="98" t="s">
        <v>82</v>
      </c>
      <c r="G13" s="98">
        <f>1000</f>
        <v>1000</v>
      </c>
      <c r="H13" s="98">
        <v>1063</v>
      </c>
      <c r="I13" s="76">
        <f>H13/G13</f>
        <v>1.0629999999999999</v>
      </c>
      <c r="J13" s="72">
        <f>360000</f>
        <v>360000</v>
      </c>
      <c r="K13" s="7">
        <f t="shared" si="0"/>
        <v>1.3737784181043787E-2</v>
      </c>
      <c r="L13" s="155"/>
      <c r="M13" s="134" t="s">
        <v>167</v>
      </c>
    </row>
    <row r="14" spans="1:13" s="9" customFormat="1" ht="93" customHeight="1" x14ac:dyDescent="0.25">
      <c r="A14" s="7">
        <v>7</v>
      </c>
      <c r="B14" s="135" t="s">
        <v>190</v>
      </c>
      <c r="C14" s="136" t="s">
        <v>235</v>
      </c>
      <c r="D14" s="136" t="s">
        <v>187</v>
      </c>
      <c r="E14" s="98" t="s">
        <v>53</v>
      </c>
      <c r="F14" s="98" t="s">
        <v>82</v>
      </c>
      <c r="G14" s="98">
        <f>90</f>
        <v>90</v>
      </c>
      <c r="H14" s="98">
        <v>35</v>
      </c>
      <c r="I14" s="76">
        <f>H14/G14</f>
        <v>0.3888888888888889</v>
      </c>
      <c r="J14" s="72">
        <f>21600</f>
        <v>21600</v>
      </c>
      <c r="K14" s="7">
        <f t="shared" si="0"/>
        <v>8.2426705086262721E-4</v>
      </c>
      <c r="L14" s="155"/>
      <c r="M14" s="134" t="s">
        <v>168</v>
      </c>
    </row>
    <row r="15" spans="1:13" s="9" customFormat="1" ht="86.25" customHeight="1" x14ac:dyDescent="0.25">
      <c r="A15" s="7">
        <v>8</v>
      </c>
      <c r="B15" s="135" t="s">
        <v>190</v>
      </c>
      <c r="C15" s="136" t="s">
        <v>235</v>
      </c>
      <c r="D15" s="136" t="s">
        <v>187</v>
      </c>
      <c r="E15" s="98" t="s">
        <v>59</v>
      </c>
      <c r="F15" s="98" t="s">
        <v>82</v>
      </c>
      <c r="G15" s="98">
        <f>30</f>
        <v>30</v>
      </c>
      <c r="H15" s="98">
        <v>12</v>
      </c>
      <c r="I15" s="76">
        <f>H15/G15</f>
        <v>0.4</v>
      </c>
      <c r="J15" s="72">
        <f>12000</f>
        <v>12000</v>
      </c>
      <c r="K15" s="7">
        <f t="shared" si="0"/>
        <v>4.5792613936812619E-4</v>
      </c>
      <c r="L15" s="155"/>
      <c r="M15" s="134" t="s">
        <v>168</v>
      </c>
    </row>
    <row r="16" spans="1:13" s="9" customFormat="1" ht="171.75" customHeight="1" x14ac:dyDescent="0.25">
      <c r="A16" s="7">
        <v>9</v>
      </c>
      <c r="B16" s="135" t="s">
        <v>206</v>
      </c>
      <c r="C16" s="136" t="s">
        <v>236</v>
      </c>
      <c r="D16" s="136" t="s">
        <v>187</v>
      </c>
      <c r="E16" s="98" t="s">
        <v>84</v>
      </c>
      <c r="F16" s="98" t="s">
        <v>81</v>
      </c>
      <c r="G16" s="98">
        <f>1800</f>
        <v>1800</v>
      </c>
      <c r="H16" s="98">
        <v>982</v>
      </c>
      <c r="I16" s="76">
        <f t="shared" si="1"/>
        <v>0.54555555555555557</v>
      </c>
      <c r="J16" s="72">
        <f>3036600</f>
        <v>3036600</v>
      </c>
      <c r="K16" s="7">
        <f t="shared" si="0"/>
        <v>0.11587820956710435</v>
      </c>
      <c r="L16" s="155"/>
      <c r="M16" s="134" t="s">
        <v>176</v>
      </c>
    </row>
    <row r="17" spans="1:13" s="9" customFormat="1" ht="88.5" customHeight="1" x14ac:dyDescent="0.25">
      <c r="A17" s="7">
        <v>10</v>
      </c>
      <c r="B17" s="135" t="s">
        <v>185</v>
      </c>
      <c r="C17" s="136" t="s">
        <v>237</v>
      </c>
      <c r="D17" s="136" t="s">
        <v>201</v>
      </c>
      <c r="E17" s="98" t="s">
        <v>80</v>
      </c>
      <c r="F17" s="98" t="s">
        <v>83</v>
      </c>
      <c r="G17" s="98">
        <f>5250</f>
        <v>5250</v>
      </c>
      <c r="H17" s="98">
        <v>3480</v>
      </c>
      <c r="I17" s="76">
        <f t="shared" si="1"/>
        <v>0.66285714285714281</v>
      </c>
      <c r="J17" s="72">
        <f>8289750</f>
        <v>8289750</v>
      </c>
      <c r="K17" s="7">
        <f t="shared" si="0"/>
        <v>0.31634110115224368</v>
      </c>
      <c r="L17" s="155"/>
      <c r="M17" s="134" t="s">
        <v>255</v>
      </c>
    </row>
    <row r="18" spans="1:13" s="9" customFormat="1" ht="106.5" customHeight="1" x14ac:dyDescent="0.25">
      <c r="A18" s="7">
        <v>11</v>
      </c>
      <c r="B18" s="135" t="s">
        <v>198</v>
      </c>
      <c r="C18" s="136" t="s">
        <v>238</v>
      </c>
      <c r="D18" s="136" t="s">
        <v>187</v>
      </c>
      <c r="E18" s="98" t="s">
        <v>79</v>
      </c>
      <c r="F18" s="98" t="s">
        <v>82</v>
      </c>
      <c r="G18" s="98">
        <f>140</f>
        <v>140</v>
      </c>
      <c r="H18" s="98">
        <v>152</v>
      </c>
      <c r="I18" s="76">
        <f t="shared" si="1"/>
        <v>1.0857142857142856</v>
      </c>
      <c r="J18" s="72">
        <f>823900</f>
        <v>823900</v>
      </c>
      <c r="K18" s="7">
        <f t="shared" si="0"/>
        <v>3.1440445518783264E-2</v>
      </c>
      <c r="L18" s="155"/>
      <c r="M18" s="134" t="s">
        <v>168</v>
      </c>
    </row>
    <row r="19" spans="1:13" s="9" customFormat="1" ht="102" customHeight="1" x14ac:dyDescent="0.25">
      <c r="A19" s="7">
        <v>12</v>
      </c>
      <c r="B19" s="135" t="s">
        <v>199</v>
      </c>
      <c r="C19" s="136" t="s">
        <v>231</v>
      </c>
      <c r="D19" s="136" t="s">
        <v>187</v>
      </c>
      <c r="E19" s="98" t="s">
        <v>79</v>
      </c>
      <c r="F19" s="98" t="s">
        <v>82</v>
      </c>
      <c r="G19" s="98">
        <f>260</f>
        <v>260</v>
      </c>
      <c r="H19" s="98">
        <v>155</v>
      </c>
      <c r="I19" s="76">
        <f t="shared" si="1"/>
        <v>0.59615384615384615</v>
      </c>
      <c r="J19" s="72">
        <f>4695340</f>
        <v>4695340</v>
      </c>
      <c r="K19" s="7">
        <f t="shared" si="0"/>
        <v>0.17917657660172814</v>
      </c>
      <c r="L19" s="155"/>
      <c r="M19" s="133" t="s">
        <v>88</v>
      </c>
    </row>
    <row r="20" spans="1:13" s="9" customFormat="1" ht="92.25" customHeight="1" x14ac:dyDescent="0.25">
      <c r="A20" s="7">
        <v>13</v>
      </c>
      <c r="B20" s="135" t="s">
        <v>200</v>
      </c>
      <c r="C20" s="136" t="s">
        <v>232</v>
      </c>
      <c r="D20" s="136" t="s">
        <v>187</v>
      </c>
      <c r="E20" s="98" t="s">
        <v>78</v>
      </c>
      <c r="F20" s="98" t="s">
        <v>82</v>
      </c>
      <c r="G20" s="98">
        <f>12</f>
        <v>12</v>
      </c>
      <c r="H20" s="98">
        <v>11</v>
      </c>
      <c r="I20" s="76">
        <f t="shared" ref="I20:I24" si="2">H20/G20</f>
        <v>0.91666666666666663</v>
      </c>
      <c r="J20" s="72">
        <f>42000</f>
        <v>42000</v>
      </c>
      <c r="K20" s="7">
        <f t="shared" si="0"/>
        <v>1.6027414877884418E-3</v>
      </c>
      <c r="L20" s="155"/>
      <c r="M20" s="134" t="s">
        <v>167</v>
      </c>
    </row>
    <row r="21" spans="1:13" s="9" customFormat="1" ht="97.5" customHeight="1" x14ac:dyDescent="0.25">
      <c r="A21" s="7">
        <v>14</v>
      </c>
      <c r="B21" s="135" t="s">
        <v>204</v>
      </c>
      <c r="C21" s="136" t="s">
        <v>233</v>
      </c>
      <c r="D21" s="136" t="s">
        <v>195</v>
      </c>
      <c r="E21" s="98" t="s">
        <v>77</v>
      </c>
      <c r="F21" s="98" t="s">
        <v>71</v>
      </c>
      <c r="G21" s="98">
        <f>2400</f>
        <v>2400</v>
      </c>
      <c r="H21" s="98">
        <v>1724</v>
      </c>
      <c r="I21" s="76">
        <f t="shared" si="2"/>
        <v>0.71833333333333338</v>
      </c>
      <c r="J21" s="72">
        <f>1440000</f>
        <v>1440000</v>
      </c>
      <c r="K21" s="7">
        <f t="shared" si="0"/>
        <v>5.4951136724175148E-2</v>
      </c>
      <c r="L21" s="155"/>
      <c r="M21" s="134" t="s">
        <v>168</v>
      </c>
    </row>
    <row r="22" spans="1:13" s="9" customFormat="1" ht="84.75" customHeight="1" x14ac:dyDescent="0.25">
      <c r="A22" s="7">
        <v>15</v>
      </c>
      <c r="B22" s="135" t="s">
        <v>205</v>
      </c>
      <c r="C22" s="137" t="s">
        <v>184</v>
      </c>
      <c r="D22" s="136" t="s">
        <v>187</v>
      </c>
      <c r="E22" s="98" t="s">
        <v>79</v>
      </c>
      <c r="F22" s="98" t="s">
        <v>82</v>
      </c>
      <c r="G22" s="98">
        <v>70</v>
      </c>
      <c r="H22" s="98">
        <v>41</v>
      </c>
      <c r="I22" s="76">
        <f>H22/G22</f>
        <v>0.58571428571428574</v>
      </c>
      <c r="J22" s="72">
        <f>351610</f>
        <v>351610</v>
      </c>
      <c r="K22" s="7">
        <f t="shared" si="0"/>
        <v>1.3417617488602238E-2</v>
      </c>
      <c r="L22" s="155"/>
      <c r="M22" s="133" t="s">
        <v>175</v>
      </c>
    </row>
    <row r="23" spans="1:13" s="9" customFormat="1" ht="20.100000000000001" customHeight="1" x14ac:dyDescent="0.25">
      <c r="A23" s="107"/>
      <c r="B23" s="127"/>
      <c r="C23" s="108" t="s">
        <v>178</v>
      </c>
      <c r="D23" s="108"/>
      <c r="E23" s="109"/>
      <c r="F23" s="109"/>
      <c r="G23" s="131"/>
      <c r="H23" s="131"/>
      <c r="I23" s="111"/>
      <c r="J23" s="112"/>
      <c r="K23" s="109"/>
      <c r="L23" s="155"/>
      <c r="M23" s="117"/>
    </row>
    <row r="24" spans="1:13" s="9" customFormat="1" ht="50.1" customHeight="1" x14ac:dyDescent="0.25">
      <c r="A24" s="7">
        <v>16</v>
      </c>
      <c r="B24" s="135" t="s">
        <v>193</v>
      </c>
      <c r="C24" s="136" t="s">
        <v>230</v>
      </c>
      <c r="D24" s="136"/>
      <c r="E24" s="98" t="s">
        <v>76</v>
      </c>
      <c r="F24" s="98" t="s">
        <v>81</v>
      </c>
      <c r="G24" s="98">
        <f>265</f>
        <v>265</v>
      </c>
      <c r="H24" s="98">
        <v>210</v>
      </c>
      <c r="I24" s="76">
        <f t="shared" si="2"/>
        <v>0.79245283018867929</v>
      </c>
      <c r="J24" s="72">
        <f>1485049.4</f>
        <v>1485049.4</v>
      </c>
      <c r="K24" s="7">
        <f>J24/$J$27</f>
        <v>5.667024487607935E-2</v>
      </c>
      <c r="L24" s="155"/>
      <c r="M24" s="133"/>
    </row>
    <row r="25" spans="1:13" s="9" customFormat="1" ht="84.95" customHeight="1" x14ac:dyDescent="0.25">
      <c r="A25" s="7">
        <v>17</v>
      </c>
      <c r="B25" s="135" t="s">
        <v>193</v>
      </c>
      <c r="C25" s="137" t="s">
        <v>192</v>
      </c>
      <c r="D25" s="136" t="s">
        <v>194</v>
      </c>
      <c r="E25" s="98" t="s">
        <v>124</v>
      </c>
      <c r="F25" s="98" t="s">
        <v>82</v>
      </c>
      <c r="G25" s="98">
        <f>4000</f>
        <v>4000</v>
      </c>
      <c r="H25" s="98">
        <v>1632</v>
      </c>
      <c r="I25" s="76">
        <f t="shared" si="1"/>
        <v>0.40799999999999997</v>
      </c>
      <c r="J25" s="72">
        <f>1800000</f>
        <v>1800000</v>
      </c>
      <c r="K25" s="7">
        <f>J25/$J$27</f>
        <v>6.8688920905218928E-2</v>
      </c>
      <c r="L25" s="155"/>
      <c r="M25" s="134" t="s">
        <v>210</v>
      </c>
    </row>
    <row r="26" spans="1:13" s="9" customFormat="1" ht="112.5" customHeight="1" x14ac:dyDescent="0.25">
      <c r="A26" s="7">
        <v>18</v>
      </c>
      <c r="B26" s="135" t="s">
        <v>193</v>
      </c>
      <c r="C26" s="137" t="s">
        <v>196</v>
      </c>
      <c r="D26" s="136" t="s">
        <v>197</v>
      </c>
      <c r="E26" s="98" t="s">
        <v>125</v>
      </c>
      <c r="F26" s="98" t="s">
        <v>82</v>
      </c>
      <c r="G26" s="98">
        <f>400</f>
        <v>400</v>
      </c>
      <c r="H26" s="98">
        <v>359</v>
      </c>
      <c r="I26" s="76">
        <f t="shared" si="1"/>
        <v>0.89749999999999996</v>
      </c>
      <c r="J26" s="72">
        <f>590000</f>
        <v>590000</v>
      </c>
      <c r="K26" s="7">
        <f>J26/$J$27</f>
        <v>2.2514701852266207E-2</v>
      </c>
      <c r="L26" s="155"/>
      <c r="M26" s="134"/>
    </row>
    <row r="27" spans="1:13" s="12" customFormat="1" ht="15.75" x14ac:dyDescent="0.25">
      <c r="A27" s="10"/>
      <c r="B27" s="121"/>
      <c r="C27" s="11" t="s">
        <v>52</v>
      </c>
      <c r="D27" s="11"/>
      <c r="E27" s="10"/>
      <c r="F27" s="10"/>
      <c r="G27" s="103">
        <f>SUM(G8:G26)</f>
        <v>27517</v>
      </c>
      <c r="H27" s="103">
        <f>SUM(H8:H26)</f>
        <v>16780</v>
      </c>
      <c r="I27" s="25"/>
      <c r="J27" s="102">
        <f>SUM(J8:J26)</f>
        <v>26205099.399999999</v>
      </c>
      <c r="K27" s="10"/>
      <c r="L27" s="10">
        <f>L8</f>
        <v>0.64363536052834058</v>
      </c>
      <c r="M27" s="10"/>
    </row>
  </sheetData>
  <mergeCells count="3">
    <mergeCell ref="L8:L26"/>
    <mergeCell ref="A2:M2"/>
    <mergeCell ref="A3:M3"/>
  </mergeCells>
  <pageMargins left="0.39370078740157483" right="0.39370078740157483" top="0.74803149606299213" bottom="0.39370078740157483" header="0.31496062992125984" footer="0.31496062992125984"/>
  <pageSetup paperSize="9" scale="5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6"/>
  <sheetViews>
    <sheetView workbookViewId="0">
      <selection activeCell="B16" sqref="B16"/>
    </sheetView>
  </sheetViews>
  <sheetFormatPr defaultRowHeight="15" x14ac:dyDescent="0.25"/>
  <cols>
    <col min="1" max="1" width="36.7109375" customWidth="1"/>
    <col min="2" max="2" width="44.42578125" customWidth="1"/>
    <col min="3" max="3" width="45.42578125" customWidth="1"/>
  </cols>
  <sheetData>
    <row r="2" spans="1:3" ht="15.75" x14ac:dyDescent="0.25">
      <c r="A2" s="139" t="s">
        <v>36</v>
      </c>
      <c r="B2" s="139"/>
      <c r="C2" s="139"/>
    </row>
    <row r="3" spans="1:3" ht="15.75" x14ac:dyDescent="0.25">
      <c r="A3" s="139" t="s">
        <v>37</v>
      </c>
      <c r="B3" s="139"/>
      <c r="C3" s="139"/>
    </row>
    <row r="4" spans="1:3" ht="15.75" x14ac:dyDescent="0.25">
      <c r="A4" s="2"/>
    </row>
    <row r="5" spans="1:3" ht="78.75" x14ac:dyDescent="0.25">
      <c r="A5" s="5" t="s">
        <v>38</v>
      </c>
      <c r="B5" s="5" t="s">
        <v>39</v>
      </c>
      <c r="C5" s="5" t="s">
        <v>121</v>
      </c>
    </row>
    <row r="6" spans="1:3" ht="15.75" x14ac:dyDescent="0.25">
      <c r="A6" s="5">
        <v>1</v>
      </c>
      <c r="B6" s="5">
        <v>2</v>
      </c>
      <c r="C6" s="5">
        <v>3</v>
      </c>
    </row>
    <row r="7" spans="1:3" s="9" customFormat="1" ht="30" customHeight="1" x14ac:dyDescent="0.25">
      <c r="A7" s="8">
        <f>'Часть 2 Показат. объема'!L27</f>
        <v>0.64363536052834058</v>
      </c>
      <c r="B7" s="73">
        <f>'Часть 1 Фин.обеспеч.'!F15</f>
        <v>0.5754225596783894</v>
      </c>
      <c r="C7" s="74">
        <f>A7/B7</f>
        <v>1.1185438417431464</v>
      </c>
    </row>
    <row r="8" spans="1:3" s="31" customFormat="1" ht="15.75" x14ac:dyDescent="0.25">
      <c r="B8" s="32"/>
    </row>
    <row r="9" spans="1:3" s="31" customFormat="1" x14ac:dyDescent="0.25"/>
    <row r="10" spans="1:3" x14ac:dyDescent="0.25">
      <c r="A10" s="156" t="s">
        <v>241</v>
      </c>
      <c r="B10" s="156"/>
      <c r="C10" s="156"/>
    </row>
    <row r="11" spans="1:3" x14ac:dyDescent="0.25">
      <c r="A11" s="156"/>
      <c r="B11" s="156"/>
      <c r="C11" s="156"/>
    </row>
    <row r="12" spans="1:3" x14ac:dyDescent="0.25">
      <c r="A12" s="156"/>
      <c r="B12" s="156"/>
      <c r="C12" s="156"/>
    </row>
    <row r="13" spans="1:3" x14ac:dyDescent="0.25">
      <c r="A13" s="156"/>
      <c r="B13" s="156"/>
      <c r="C13" s="156"/>
    </row>
    <row r="14" spans="1:3" x14ac:dyDescent="0.25">
      <c r="A14" s="30"/>
      <c r="B14" s="30"/>
      <c r="C14" s="30"/>
    </row>
    <row r="15" spans="1:3" x14ac:dyDescent="0.25">
      <c r="A15" s="30"/>
      <c r="B15" s="30"/>
      <c r="C15" s="30"/>
    </row>
    <row r="16" spans="1:3" x14ac:dyDescent="0.25">
      <c r="A16" s="30"/>
      <c r="B16" s="30"/>
      <c r="C16" s="30"/>
    </row>
  </sheetData>
  <mergeCells count="3">
    <mergeCell ref="A2:C2"/>
    <mergeCell ref="A3:C3"/>
    <mergeCell ref="A10:C13"/>
  </mergeCell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57"/>
  <sheetViews>
    <sheetView topLeftCell="C40" zoomScale="70" zoomScaleNormal="70" workbookViewId="0">
      <selection activeCell="C36" sqref="C36:C38"/>
    </sheetView>
  </sheetViews>
  <sheetFormatPr defaultRowHeight="15" x14ac:dyDescent="0.25"/>
  <cols>
    <col min="1" max="1" width="5.42578125" style="4" customWidth="1"/>
    <col min="2" max="2" width="25" style="122" customWidth="1"/>
    <col min="3" max="3" width="53.140625" style="20" customWidth="1"/>
    <col min="4" max="4" width="58.5703125" style="20" customWidth="1"/>
    <col min="5" max="5" width="14.5703125" style="38" customWidth="1"/>
    <col min="6" max="6" width="19.42578125" style="77" customWidth="1"/>
    <col min="7" max="7" width="18.28515625" style="77" customWidth="1"/>
    <col min="8" max="8" width="18.85546875" customWidth="1"/>
    <col min="9" max="9" width="23" style="94" customWidth="1"/>
    <col min="10" max="10" width="39" style="94" customWidth="1"/>
  </cols>
  <sheetData>
    <row r="2" spans="1:10" ht="18.75" x14ac:dyDescent="0.3">
      <c r="A2" s="144" t="s">
        <v>163</v>
      </c>
      <c r="B2" s="144"/>
      <c r="C2" s="144"/>
      <c r="D2" s="144"/>
      <c r="E2" s="144"/>
      <c r="F2" s="144"/>
      <c r="G2" s="144"/>
      <c r="H2" s="144"/>
      <c r="I2" s="144"/>
    </row>
    <row r="3" spans="1:10" ht="15.75" x14ac:dyDescent="0.25">
      <c r="A3" s="3"/>
    </row>
    <row r="4" spans="1:10" ht="140.25" customHeight="1" x14ac:dyDescent="0.25">
      <c r="A4" s="80" t="s">
        <v>17</v>
      </c>
      <c r="B4" s="123" t="s">
        <v>40</v>
      </c>
      <c r="C4" s="81" t="s">
        <v>26</v>
      </c>
      <c r="D4" s="81" t="s">
        <v>126</v>
      </c>
      <c r="E4" s="81" t="s">
        <v>41</v>
      </c>
      <c r="F4" s="82" t="s">
        <v>42</v>
      </c>
      <c r="G4" s="82" t="s">
        <v>43</v>
      </c>
      <c r="H4" s="81" t="s">
        <v>48</v>
      </c>
      <c r="I4" s="95" t="s">
        <v>44</v>
      </c>
      <c r="J4" s="95" t="s">
        <v>127</v>
      </c>
    </row>
    <row r="5" spans="1:10" ht="15.75" x14ac:dyDescent="0.25">
      <c r="A5" s="83">
        <v>1</v>
      </c>
      <c r="B5" s="124">
        <v>2</v>
      </c>
      <c r="C5" s="85">
        <v>3</v>
      </c>
      <c r="D5" s="85"/>
      <c r="E5" s="84">
        <v>4</v>
      </c>
      <c r="F5" s="86">
        <v>5</v>
      </c>
      <c r="G5" s="86">
        <v>6</v>
      </c>
      <c r="H5" s="84">
        <v>8</v>
      </c>
      <c r="I5" s="96">
        <v>9</v>
      </c>
      <c r="J5" s="96">
        <v>9</v>
      </c>
    </row>
    <row r="6" spans="1:10" s="19" customFormat="1" ht="35.1" customHeight="1" x14ac:dyDescent="0.25">
      <c r="A6" s="18" t="s">
        <v>49</v>
      </c>
      <c r="B6" s="168" t="s">
        <v>188</v>
      </c>
      <c r="C6" s="171" t="s">
        <v>89</v>
      </c>
      <c r="D6" s="13" t="s">
        <v>53</v>
      </c>
      <c r="E6" s="7" t="s">
        <v>82</v>
      </c>
      <c r="F6" s="98">
        <f>'Часть 2 Показат. объема'!G8</f>
        <v>2150</v>
      </c>
      <c r="G6" s="98">
        <f>'Часть 2 Показат. объема'!H8</f>
        <v>1151</v>
      </c>
      <c r="H6" s="8">
        <f>G6/F6</f>
        <v>0.53534883720930238</v>
      </c>
      <c r="I6" s="170" t="s">
        <v>228</v>
      </c>
      <c r="J6" s="170" t="s">
        <v>215</v>
      </c>
    </row>
    <row r="7" spans="1:10" s="19" customFormat="1" ht="31.5" x14ac:dyDescent="0.25">
      <c r="A7" s="18" t="s">
        <v>57</v>
      </c>
      <c r="B7" s="163"/>
      <c r="C7" s="172"/>
      <c r="D7" s="13" t="s">
        <v>56</v>
      </c>
      <c r="E7" s="7" t="s">
        <v>207</v>
      </c>
      <c r="F7" s="14">
        <v>90</v>
      </c>
      <c r="G7" s="14">
        <v>98</v>
      </c>
      <c r="H7" s="8">
        <f>G7/F7</f>
        <v>1.0888888888888888</v>
      </c>
      <c r="I7" s="159"/>
      <c r="J7" s="159"/>
    </row>
    <row r="8" spans="1:10" s="19" customFormat="1" ht="35.25" customHeight="1" x14ac:dyDescent="0.25">
      <c r="A8" s="18" t="s">
        <v>58</v>
      </c>
      <c r="B8" s="164"/>
      <c r="C8" s="173"/>
      <c r="D8" s="13" t="s">
        <v>54</v>
      </c>
      <c r="E8" s="7" t="s">
        <v>207</v>
      </c>
      <c r="F8" s="14">
        <v>100</v>
      </c>
      <c r="G8" s="14">
        <v>100</v>
      </c>
      <c r="H8" s="8">
        <f t="shared" ref="H8:H47" si="0">G8/F8</f>
        <v>1</v>
      </c>
      <c r="I8" s="160"/>
      <c r="J8" s="160"/>
    </row>
    <row r="9" spans="1:10" s="19" customFormat="1" ht="35.1" customHeight="1" x14ac:dyDescent="0.25">
      <c r="A9" s="18" t="s">
        <v>60</v>
      </c>
      <c r="B9" s="168" t="s">
        <v>188</v>
      </c>
      <c r="C9" s="171" t="s">
        <v>89</v>
      </c>
      <c r="D9" s="13" t="s">
        <v>59</v>
      </c>
      <c r="E9" s="7" t="s">
        <v>82</v>
      </c>
      <c r="F9" s="98">
        <f>'Часть 2 Показат. объема'!G9</f>
        <v>800</v>
      </c>
      <c r="G9" s="98">
        <f>'Часть 2 Показат. объема'!H9</f>
        <v>563</v>
      </c>
      <c r="H9" s="8">
        <f t="shared" si="0"/>
        <v>0.70374999999999999</v>
      </c>
      <c r="I9" s="170" t="s">
        <v>228</v>
      </c>
      <c r="J9" s="170" t="s">
        <v>215</v>
      </c>
    </row>
    <row r="10" spans="1:10" s="19" customFormat="1" ht="31.5" x14ac:dyDescent="0.25">
      <c r="A10" s="18" t="s">
        <v>61</v>
      </c>
      <c r="B10" s="163"/>
      <c r="C10" s="172"/>
      <c r="D10" s="13" t="s">
        <v>56</v>
      </c>
      <c r="E10" s="7" t="s">
        <v>207</v>
      </c>
      <c r="F10" s="14">
        <v>90</v>
      </c>
      <c r="G10" s="14">
        <v>95</v>
      </c>
      <c r="H10" s="8">
        <f t="shared" si="0"/>
        <v>1.0555555555555556</v>
      </c>
      <c r="I10" s="159"/>
      <c r="J10" s="159"/>
    </row>
    <row r="11" spans="1:10" s="19" customFormat="1" ht="37.5" customHeight="1" x14ac:dyDescent="0.25">
      <c r="A11" s="18" t="s">
        <v>62</v>
      </c>
      <c r="B11" s="164"/>
      <c r="C11" s="173"/>
      <c r="D11" s="13" t="s">
        <v>54</v>
      </c>
      <c r="E11" s="7" t="s">
        <v>207</v>
      </c>
      <c r="F11" s="14">
        <v>100</v>
      </c>
      <c r="G11" s="14">
        <v>100</v>
      </c>
      <c r="H11" s="8">
        <f t="shared" si="0"/>
        <v>1</v>
      </c>
      <c r="I11" s="160"/>
      <c r="J11" s="160"/>
    </row>
    <row r="12" spans="1:10" s="19" customFormat="1" ht="35.1" customHeight="1" x14ac:dyDescent="0.25">
      <c r="A12" s="18" t="s">
        <v>63</v>
      </c>
      <c r="B12" s="168" t="s">
        <v>189</v>
      </c>
      <c r="C12" s="171" t="s">
        <v>90</v>
      </c>
      <c r="D12" s="13" t="s">
        <v>53</v>
      </c>
      <c r="E12" s="7" t="s">
        <v>82</v>
      </c>
      <c r="F12" s="98">
        <f>'Часть 2 Показат. объема'!G10</f>
        <v>2800</v>
      </c>
      <c r="G12" s="98">
        <f>'Часть 2 Показат. объема'!H10</f>
        <v>1255</v>
      </c>
      <c r="H12" s="8">
        <f t="shared" si="0"/>
        <v>0.44821428571428573</v>
      </c>
      <c r="I12" s="169" t="s">
        <v>229</v>
      </c>
      <c r="J12" s="170" t="s">
        <v>214</v>
      </c>
    </row>
    <row r="13" spans="1:10" s="19" customFormat="1" ht="31.5" x14ac:dyDescent="0.25">
      <c r="A13" s="18" t="s">
        <v>64</v>
      </c>
      <c r="B13" s="163"/>
      <c r="C13" s="172"/>
      <c r="D13" s="13" t="s">
        <v>56</v>
      </c>
      <c r="E13" s="7" t="s">
        <v>207</v>
      </c>
      <c r="F13" s="14">
        <v>90</v>
      </c>
      <c r="G13" s="14">
        <v>90</v>
      </c>
      <c r="H13" s="8">
        <f t="shared" si="0"/>
        <v>1</v>
      </c>
      <c r="I13" s="157"/>
      <c r="J13" s="159"/>
    </row>
    <row r="14" spans="1:10" s="19" customFormat="1" ht="37.5" customHeight="1" x14ac:dyDescent="0.25">
      <c r="A14" s="18" t="s">
        <v>65</v>
      </c>
      <c r="B14" s="164"/>
      <c r="C14" s="173"/>
      <c r="D14" s="13" t="s">
        <v>54</v>
      </c>
      <c r="E14" s="7" t="s">
        <v>207</v>
      </c>
      <c r="F14" s="14">
        <v>100</v>
      </c>
      <c r="G14" s="14">
        <v>100</v>
      </c>
      <c r="H14" s="8">
        <f t="shared" si="0"/>
        <v>1</v>
      </c>
      <c r="I14" s="158"/>
      <c r="J14" s="160"/>
    </row>
    <row r="15" spans="1:10" s="19" customFormat="1" ht="35.1" customHeight="1" x14ac:dyDescent="0.25">
      <c r="A15" s="17" t="s">
        <v>66</v>
      </c>
      <c r="B15" s="168" t="s">
        <v>189</v>
      </c>
      <c r="C15" s="171" t="s">
        <v>90</v>
      </c>
      <c r="D15" s="13" t="s">
        <v>59</v>
      </c>
      <c r="E15" s="7" t="s">
        <v>82</v>
      </c>
      <c r="F15" s="98">
        <f>'Часть 2 Показат. объема'!G11</f>
        <v>50</v>
      </c>
      <c r="G15" s="98">
        <f>'Часть 2 Показат. объема'!H11</f>
        <v>45</v>
      </c>
      <c r="H15" s="8">
        <f t="shared" si="0"/>
        <v>0.9</v>
      </c>
      <c r="I15" s="169" t="s">
        <v>168</v>
      </c>
      <c r="J15" s="170" t="s">
        <v>214</v>
      </c>
    </row>
    <row r="16" spans="1:10" s="19" customFormat="1" ht="31.5" x14ac:dyDescent="0.25">
      <c r="A16" s="18" t="s">
        <v>67</v>
      </c>
      <c r="B16" s="163"/>
      <c r="C16" s="172"/>
      <c r="D16" s="13" t="s">
        <v>56</v>
      </c>
      <c r="E16" s="7" t="s">
        <v>207</v>
      </c>
      <c r="F16" s="14">
        <v>90</v>
      </c>
      <c r="G16" s="14">
        <v>90</v>
      </c>
      <c r="H16" s="8">
        <f t="shared" si="0"/>
        <v>1</v>
      </c>
      <c r="I16" s="157"/>
      <c r="J16" s="159"/>
    </row>
    <row r="17" spans="1:10" s="19" customFormat="1" ht="36.75" customHeight="1" x14ac:dyDescent="0.25">
      <c r="A17" s="17" t="s">
        <v>68</v>
      </c>
      <c r="B17" s="164"/>
      <c r="C17" s="173"/>
      <c r="D17" s="13" t="s">
        <v>54</v>
      </c>
      <c r="E17" s="7" t="s">
        <v>207</v>
      </c>
      <c r="F17" s="14">
        <v>100</v>
      </c>
      <c r="G17" s="14">
        <v>100</v>
      </c>
      <c r="H17" s="8">
        <f t="shared" si="0"/>
        <v>1</v>
      </c>
      <c r="I17" s="158"/>
      <c r="J17" s="160"/>
    </row>
    <row r="18" spans="1:10" s="19" customFormat="1" ht="36.75" customHeight="1" x14ac:dyDescent="0.25">
      <c r="A18" s="17" t="s">
        <v>128</v>
      </c>
      <c r="B18" s="168" t="s">
        <v>191</v>
      </c>
      <c r="C18" s="171" t="s">
        <v>91</v>
      </c>
      <c r="D18" s="13" t="s">
        <v>53</v>
      </c>
      <c r="E18" s="7" t="s">
        <v>82</v>
      </c>
      <c r="F18" s="98">
        <f>'Часть 2 Показат. объема'!G12</f>
        <v>6000</v>
      </c>
      <c r="G18" s="98">
        <f>'Часть 2 Показат. объема'!H12</f>
        <v>3910</v>
      </c>
      <c r="H18" s="8">
        <f t="shared" ref="H18:H29" si="1">G18/F18</f>
        <v>0.65166666666666662</v>
      </c>
      <c r="I18" s="169" t="s">
        <v>168</v>
      </c>
      <c r="J18" s="170" t="s">
        <v>220</v>
      </c>
    </row>
    <row r="19" spans="1:10" s="19" customFormat="1" ht="45" customHeight="1" x14ac:dyDescent="0.25">
      <c r="A19" s="17" t="s">
        <v>129</v>
      </c>
      <c r="B19" s="163"/>
      <c r="C19" s="172"/>
      <c r="D19" s="13" t="s">
        <v>56</v>
      </c>
      <c r="E19" s="7" t="s">
        <v>207</v>
      </c>
      <c r="F19" s="14">
        <v>90</v>
      </c>
      <c r="G19" s="14">
        <v>95</v>
      </c>
      <c r="H19" s="8">
        <f t="shared" si="1"/>
        <v>1.0555555555555556</v>
      </c>
      <c r="I19" s="157"/>
      <c r="J19" s="159"/>
    </row>
    <row r="20" spans="1:10" s="19" customFormat="1" ht="36.75" customHeight="1" x14ac:dyDescent="0.25">
      <c r="A20" s="17" t="s">
        <v>130</v>
      </c>
      <c r="B20" s="164"/>
      <c r="C20" s="173"/>
      <c r="D20" s="13" t="s">
        <v>54</v>
      </c>
      <c r="E20" s="7" t="s">
        <v>207</v>
      </c>
      <c r="F20" s="14">
        <v>100</v>
      </c>
      <c r="G20" s="14">
        <v>100</v>
      </c>
      <c r="H20" s="8">
        <f t="shared" si="1"/>
        <v>1</v>
      </c>
      <c r="I20" s="158"/>
      <c r="J20" s="160"/>
    </row>
    <row r="21" spans="1:10" s="19" customFormat="1" ht="36.75" customHeight="1" x14ac:dyDescent="0.25">
      <c r="A21" s="118" t="s">
        <v>180</v>
      </c>
      <c r="B21" s="168" t="s">
        <v>191</v>
      </c>
      <c r="C21" s="171" t="s">
        <v>91</v>
      </c>
      <c r="D21" s="13" t="s">
        <v>59</v>
      </c>
      <c r="E21" s="7" t="s">
        <v>82</v>
      </c>
      <c r="F21" s="98">
        <f>'Часть 2 Показат. объема'!G13</f>
        <v>1000</v>
      </c>
      <c r="G21" s="98">
        <f>'Часть 2 Показат. объема'!H13</f>
        <v>1063</v>
      </c>
      <c r="H21" s="8">
        <f t="shared" si="1"/>
        <v>1.0629999999999999</v>
      </c>
      <c r="I21" s="169" t="s">
        <v>225</v>
      </c>
      <c r="J21" s="170" t="s">
        <v>220</v>
      </c>
    </row>
    <row r="22" spans="1:10" s="19" customFormat="1" ht="45" customHeight="1" x14ac:dyDescent="0.25">
      <c r="A22" s="17" t="s">
        <v>131</v>
      </c>
      <c r="B22" s="163"/>
      <c r="C22" s="172"/>
      <c r="D22" s="13" t="s">
        <v>56</v>
      </c>
      <c r="E22" s="7" t="s">
        <v>207</v>
      </c>
      <c r="F22" s="14">
        <v>90</v>
      </c>
      <c r="G22" s="14">
        <v>95</v>
      </c>
      <c r="H22" s="8">
        <f t="shared" si="1"/>
        <v>1.0555555555555556</v>
      </c>
      <c r="I22" s="157"/>
      <c r="J22" s="159"/>
    </row>
    <row r="23" spans="1:10" s="19" customFormat="1" ht="36.75" customHeight="1" x14ac:dyDescent="0.25">
      <c r="A23" s="17" t="s">
        <v>132</v>
      </c>
      <c r="B23" s="164"/>
      <c r="C23" s="173"/>
      <c r="D23" s="13" t="s">
        <v>54</v>
      </c>
      <c r="E23" s="7" t="s">
        <v>207</v>
      </c>
      <c r="F23" s="14">
        <v>100</v>
      </c>
      <c r="G23" s="14">
        <v>100</v>
      </c>
      <c r="H23" s="8">
        <f t="shared" si="1"/>
        <v>1</v>
      </c>
      <c r="I23" s="158"/>
      <c r="J23" s="160"/>
    </row>
    <row r="24" spans="1:10" s="19" customFormat="1" ht="36.75" customHeight="1" x14ac:dyDescent="0.25">
      <c r="A24" s="17" t="s">
        <v>133</v>
      </c>
      <c r="B24" s="168" t="s">
        <v>190</v>
      </c>
      <c r="C24" s="171" t="s">
        <v>202</v>
      </c>
      <c r="D24" s="13" t="s">
        <v>53</v>
      </c>
      <c r="E24" s="7" t="s">
        <v>82</v>
      </c>
      <c r="F24" s="98">
        <f>'Часть 2 Показат. объема'!G14</f>
        <v>90</v>
      </c>
      <c r="G24" s="98">
        <f>'Часть 2 Показат. объема'!H14</f>
        <v>35</v>
      </c>
      <c r="H24" s="8">
        <f t="shared" si="1"/>
        <v>0.3888888888888889</v>
      </c>
      <c r="I24" s="169" t="s">
        <v>168</v>
      </c>
      <c r="J24" s="174" t="s">
        <v>212</v>
      </c>
    </row>
    <row r="25" spans="1:10" s="19" customFormat="1" ht="36.75" customHeight="1" x14ac:dyDescent="0.25">
      <c r="A25" s="17" t="s">
        <v>134</v>
      </c>
      <c r="B25" s="163"/>
      <c r="C25" s="172"/>
      <c r="D25" s="13" t="s">
        <v>56</v>
      </c>
      <c r="E25" s="7" t="s">
        <v>207</v>
      </c>
      <c r="F25" s="14">
        <v>90</v>
      </c>
      <c r="G25" s="14">
        <v>100</v>
      </c>
      <c r="H25" s="8">
        <f t="shared" si="1"/>
        <v>1.1111111111111112</v>
      </c>
      <c r="I25" s="157"/>
      <c r="J25" s="174"/>
    </row>
    <row r="26" spans="1:10" s="19" customFormat="1" ht="36.75" customHeight="1" x14ac:dyDescent="0.25">
      <c r="A26" s="17" t="s">
        <v>135</v>
      </c>
      <c r="B26" s="164"/>
      <c r="C26" s="173"/>
      <c r="D26" s="13" t="s">
        <v>54</v>
      </c>
      <c r="E26" s="7" t="s">
        <v>207</v>
      </c>
      <c r="F26" s="14">
        <v>100</v>
      </c>
      <c r="G26" s="14">
        <v>100</v>
      </c>
      <c r="H26" s="8">
        <f t="shared" si="1"/>
        <v>1</v>
      </c>
      <c r="I26" s="158"/>
      <c r="J26" s="174"/>
    </row>
    <row r="27" spans="1:10" s="19" customFormat="1" ht="36.75" customHeight="1" x14ac:dyDescent="0.25">
      <c r="A27" s="17" t="s">
        <v>136</v>
      </c>
      <c r="B27" s="168" t="s">
        <v>190</v>
      </c>
      <c r="C27" s="171" t="s">
        <v>202</v>
      </c>
      <c r="D27" s="13" t="s">
        <v>59</v>
      </c>
      <c r="E27" s="7" t="s">
        <v>82</v>
      </c>
      <c r="F27" s="98">
        <f>'Часть 2 Показат. объема'!G15</f>
        <v>30</v>
      </c>
      <c r="G27" s="98">
        <f>'Часть 2 Показат. объема'!H15</f>
        <v>12</v>
      </c>
      <c r="H27" s="8">
        <f t="shared" si="1"/>
        <v>0.4</v>
      </c>
      <c r="I27" s="169" t="s">
        <v>168</v>
      </c>
      <c r="J27" s="174" t="s">
        <v>212</v>
      </c>
    </row>
    <row r="28" spans="1:10" s="19" customFormat="1" ht="36.75" customHeight="1" x14ac:dyDescent="0.25">
      <c r="A28" s="17" t="s">
        <v>137</v>
      </c>
      <c r="B28" s="163"/>
      <c r="C28" s="172"/>
      <c r="D28" s="13" t="s">
        <v>56</v>
      </c>
      <c r="E28" s="7" t="s">
        <v>207</v>
      </c>
      <c r="F28" s="14">
        <v>90</v>
      </c>
      <c r="G28" s="14">
        <v>100</v>
      </c>
      <c r="H28" s="8">
        <f t="shared" si="1"/>
        <v>1.1111111111111112</v>
      </c>
      <c r="I28" s="157"/>
      <c r="J28" s="174"/>
    </row>
    <row r="29" spans="1:10" s="19" customFormat="1" ht="36.75" customHeight="1" x14ac:dyDescent="0.25">
      <c r="A29" s="17" t="s">
        <v>138</v>
      </c>
      <c r="B29" s="164"/>
      <c r="C29" s="173"/>
      <c r="D29" s="13" t="s">
        <v>54</v>
      </c>
      <c r="E29" s="7" t="s">
        <v>207</v>
      </c>
      <c r="F29" s="14">
        <v>100</v>
      </c>
      <c r="G29" s="14">
        <v>100</v>
      </c>
      <c r="H29" s="8">
        <f t="shared" si="1"/>
        <v>1</v>
      </c>
      <c r="I29" s="158"/>
      <c r="J29" s="174"/>
    </row>
    <row r="30" spans="1:10" s="19" customFormat="1" ht="39.950000000000003" customHeight="1" x14ac:dyDescent="0.25">
      <c r="A30" s="17" t="s">
        <v>139</v>
      </c>
      <c r="B30" s="168" t="s">
        <v>206</v>
      </c>
      <c r="C30" s="171" t="s">
        <v>69</v>
      </c>
      <c r="D30" s="13" t="s">
        <v>70</v>
      </c>
      <c r="E30" s="7" t="s">
        <v>71</v>
      </c>
      <c r="F30" s="98">
        <f>'Часть 2 Показат. объема'!G16</f>
        <v>1800</v>
      </c>
      <c r="G30" s="98">
        <f>'Часть 2 Показат. объема'!H16</f>
        <v>982</v>
      </c>
      <c r="H30" s="8">
        <f t="shared" si="0"/>
        <v>0.54555555555555557</v>
      </c>
      <c r="I30" s="169" t="s">
        <v>222</v>
      </c>
      <c r="J30" s="170" t="s">
        <v>221</v>
      </c>
    </row>
    <row r="31" spans="1:10" s="19" customFormat="1" ht="60" customHeight="1" x14ac:dyDescent="0.25">
      <c r="A31" s="17" t="s">
        <v>141</v>
      </c>
      <c r="B31" s="163"/>
      <c r="C31" s="172"/>
      <c r="D31" s="13" t="s">
        <v>56</v>
      </c>
      <c r="E31" s="7" t="s">
        <v>207</v>
      </c>
      <c r="F31" s="14">
        <v>90</v>
      </c>
      <c r="G31" s="14">
        <v>90</v>
      </c>
      <c r="H31" s="8">
        <f t="shared" si="0"/>
        <v>1</v>
      </c>
      <c r="I31" s="157"/>
      <c r="J31" s="159"/>
    </row>
    <row r="32" spans="1:10" s="19" customFormat="1" ht="60" customHeight="1" x14ac:dyDescent="0.25">
      <c r="A32" s="17" t="s">
        <v>140</v>
      </c>
      <c r="B32" s="164"/>
      <c r="C32" s="173"/>
      <c r="D32" s="13" t="s">
        <v>54</v>
      </c>
      <c r="E32" s="7" t="s">
        <v>207</v>
      </c>
      <c r="F32" s="14">
        <v>100</v>
      </c>
      <c r="G32" s="14">
        <v>100</v>
      </c>
      <c r="H32" s="8">
        <f t="shared" si="0"/>
        <v>1</v>
      </c>
      <c r="I32" s="158"/>
      <c r="J32" s="160"/>
    </row>
    <row r="33" spans="1:10" s="19" customFormat="1" ht="35.1" customHeight="1" x14ac:dyDescent="0.25">
      <c r="A33" s="17" t="s">
        <v>142</v>
      </c>
      <c r="B33" s="168" t="s">
        <v>185</v>
      </c>
      <c r="C33" s="171" t="s">
        <v>72</v>
      </c>
      <c r="D33" s="13" t="s">
        <v>80</v>
      </c>
      <c r="E33" s="7" t="s">
        <v>83</v>
      </c>
      <c r="F33" s="98">
        <f>'Часть 2 Показат. объема'!G17</f>
        <v>5250</v>
      </c>
      <c r="G33" s="98">
        <f>'Часть 2 Показат. объема'!H17</f>
        <v>3480</v>
      </c>
      <c r="H33" s="8">
        <f t="shared" si="0"/>
        <v>0.66285714285714281</v>
      </c>
      <c r="I33" s="169" t="s">
        <v>223</v>
      </c>
      <c r="J33" s="170" t="s">
        <v>213</v>
      </c>
    </row>
    <row r="34" spans="1:10" s="19" customFormat="1" ht="41.25" customHeight="1" x14ac:dyDescent="0.25">
      <c r="A34" s="17" t="s">
        <v>143</v>
      </c>
      <c r="B34" s="163"/>
      <c r="C34" s="172"/>
      <c r="D34" s="13" t="s">
        <v>56</v>
      </c>
      <c r="E34" s="7" t="s">
        <v>207</v>
      </c>
      <c r="F34" s="14">
        <v>90</v>
      </c>
      <c r="G34" s="14">
        <v>90</v>
      </c>
      <c r="H34" s="8">
        <f t="shared" si="0"/>
        <v>1</v>
      </c>
      <c r="I34" s="157"/>
      <c r="J34" s="159"/>
    </row>
    <row r="35" spans="1:10" s="19" customFormat="1" ht="47.25" customHeight="1" x14ac:dyDescent="0.25">
      <c r="A35" s="17" t="s">
        <v>144</v>
      </c>
      <c r="B35" s="164"/>
      <c r="C35" s="173"/>
      <c r="D35" s="13" t="s">
        <v>54</v>
      </c>
      <c r="E35" s="7" t="s">
        <v>207</v>
      </c>
      <c r="F35" s="14">
        <v>100</v>
      </c>
      <c r="G35" s="14">
        <v>100</v>
      </c>
      <c r="H35" s="8">
        <f t="shared" si="0"/>
        <v>1</v>
      </c>
      <c r="I35" s="158"/>
      <c r="J35" s="160"/>
    </row>
    <row r="36" spans="1:10" s="19" customFormat="1" ht="35.1" customHeight="1" x14ac:dyDescent="0.25">
      <c r="A36" s="17" t="s">
        <v>145</v>
      </c>
      <c r="B36" s="168" t="s">
        <v>198</v>
      </c>
      <c r="C36" s="171" t="s">
        <v>73</v>
      </c>
      <c r="D36" s="13" t="s">
        <v>79</v>
      </c>
      <c r="E36" s="39" t="s">
        <v>82</v>
      </c>
      <c r="F36" s="98">
        <f>'Часть 2 Показат. объема'!G18</f>
        <v>140</v>
      </c>
      <c r="G36" s="98">
        <f>'Часть 2 Показат. объема'!H18</f>
        <v>152</v>
      </c>
      <c r="H36" s="8">
        <f t="shared" si="0"/>
        <v>1.0857142857142856</v>
      </c>
      <c r="I36" s="169" t="s">
        <v>168</v>
      </c>
      <c r="J36" s="170" t="s">
        <v>219</v>
      </c>
    </row>
    <row r="37" spans="1:10" s="19" customFormat="1" ht="39.75" customHeight="1" x14ac:dyDescent="0.25">
      <c r="A37" s="17" t="s">
        <v>146</v>
      </c>
      <c r="B37" s="163"/>
      <c r="C37" s="172"/>
      <c r="D37" s="13" t="s">
        <v>56</v>
      </c>
      <c r="E37" s="7" t="s">
        <v>207</v>
      </c>
      <c r="F37" s="14">
        <v>90</v>
      </c>
      <c r="G37" s="14">
        <v>98</v>
      </c>
      <c r="H37" s="8">
        <f t="shared" si="0"/>
        <v>1.0888888888888888</v>
      </c>
      <c r="I37" s="157"/>
      <c r="J37" s="159"/>
    </row>
    <row r="38" spans="1:10" s="19" customFormat="1" ht="43.5" customHeight="1" x14ac:dyDescent="0.25">
      <c r="A38" s="17" t="s">
        <v>147</v>
      </c>
      <c r="B38" s="164"/>
      <c r="C38" s="173"/>
      <c r="D38" s="13" t="s">
        <v>54</v>
      </c>
      <c r="E38" s="7" t="s">
        <v>207</v>
      </c>
      <c r="F38" s="14">
        <v>100</v>
      </c>
      <c r="G38" s="14">
        <v>100</v>
      </c>
      <c r="H38" s="8">
        <f t="shared" si="0"/>
        <v>1</v>
      </c>
      <c r="I38" s="158"/>
      <c r="J38" s="160"/>
    </row>
    <row r="39" spans="1:10" s="19" customFormat="1" ht="35.1" customHeight="1" x14ac:dyDescent="0.25">
      <c r="A39" s="17" t="s">
        <v>148</v>
      </c>
      <c r="B39" s="168" t="s">
        <v>199</v>
      </c>
      <c r="C39" s="171" t="s">
        <v>203</v>
      </c>
      <c r="D39" s="13" t="s">
        <v>79</v>
      </c>
      <c r="E39" s="39" t="s">
        <v>82</v>
      </c>
      <c r="F39" s="98">
        <f>'Часть 2 Показат. объема'!G19</f>
        <v>260</v>
      </c>
      <c r="G39" s="98">
        <f>'Часть 2 Показат. объема'!H19</f>
        <v>155</v>
      </c>
      <c r="H39" s="8">
        <f t="shared" si="0"/>
        <v>0.59615384615384615</v>
      </c>
      <c r="I39" s="169" t="s">
        <v>168</v>
      </c>
      <c r="J39" s="170" t="s">
        <v>219</v>
      </c>
    </row>
    <row r="40" spans="1:10" s="19" customFormat="1" ht="39" customHeight="1" x14ac:dyDescent="0.25">
      <c r="A40" s="17" t="s">
        <v>149</v>
      </c>
      <c r="B40" s="163"/>
      <c r="C40" s="172"/>
      <c r="D40" s="13" t="s">
        <v>56</v>
      </c>
      <c r="E40" s="7" t="s">
        <v>207</v>
      </c>
      <c r="F40" s="14">
        <v>90</v>
      </c>
      <c r="G40" s="14">
        <v>100</v>
      </c>
      <c r="H40" s="8">
        <f t="shared" si="0"/>
        <v>1.1111111111111112</v>
      </c>
      <c r="I40" s="157"/>
      <c r="J40" s="159"/>
    </row>
    <row r="41" spans="1:10" s="19" customFormat="1" ht="50.25" customHeight="1" x14ac:dyDescent="0.25">
      <c r="A41" s="17" t="s">
        <v>150</v>
      </c>
      <c r="B41" s="164"/>
      <c r="C41" s="173"/>
      <c r="D41" s="13" t="s">
        <v>54</v>
      </c>
      <c r="E41" s="7" t="s">
        <v>207</v>
      </c>
      <c r="F41" s="14">
        <v>100</v>
      </c>
      <c r="G41" s="14">
        <v>100</v>
      </c>
      <c r="H41" s="8">
        <f t="shared" si="0"/>
        <v>1</v>
      </c>
      <c r="I41" s="158"/>
      <c r="J41" s="160"/>
    </row>
    <row r="42" spans="1:10" s="19" customFormat="1" ht="35.1" customHeight="1" x14ac:dyDescent="0.25">
      <c r="A42" s="17" t="s">
        <v>151</v>
      </c>
      <c r="B42" s="168" t="s">
        <v>200</v>
      </c>
      <c r="C42" s="171" t="s">
        <v>74</v>
      </c>
      <c r="D42" s="13" t="s">
        <v>78</v>
      </c>
      <c r="E42" s="7" t="s">
        <v>82</v>
      </c>
      <c r="F42" s="99">
        <f>'Часть 2 Показат. объема'!G20</f>
        <v>12</v>
      </c>
      <c r="G42" s="99">
        <f>'Часть 2 Показат. объема'!H20</f>
        <v>11</v>
      </c>
      <c r="H42" s="8">
        <f t="shared" si="0"/>
        <v>0.91666666666666663</v>
      </c>
      <c r="I42" s="169" t="s">
        <v>167</v>
      </c>
      <c r="J42" s="170" t="s">
        <v>213</v>
      </c>
    </row>
    <row r="43" spans="1:10" s="19" customFormat="1" ht="31.5" x14ac:dyDescent="0.25">
      <c r="A43" s="17" t="s">
        <v>152</v>
      </c>
      <c r="B43" s="163"/>
      <c r="C43" s="172"/>
      <c r="D43" s="13" t="s">
        <v>56</v>
      </c>
      <c r="E43" s="7" t="s">
        <v>207</v>
      </c>
      <c r="F43" s="78">
        <v>90</v>
      </c>
      <c r="G43" s="14">
        <v>95</v>
      </c>
      <c r="H43" s="8">
        <f t="shared" si="0"/>
        <v>1.0555555555555556</v>
      </c>
      <c r="I43" s="157"/>
      <c r="J43" s="159"/>
    </row>
    <row r="44" spans="1:10" s="19" customFormat="1" ht="39.75" customHeight="1" x14ac:dyDescent="0.25">
      <c r="A44" s="17" t="s">
        <v>153</v>
      </c>
      <c r="B44" s="164"/>
      <c r="C44" s="173"/>
      <c r="D44" s="13" t="s">
        <v>54</v>
      </c>
      <c r="E44" s="7" t="s">
        <v>207</v>
      </c>
      <c r="F44" s="78">
        <v>100</v>
      </c>
      <c r="G44" s="14">
        <v>100</v>
      </c>
      <c r="H44" s="8">
        <f t="shared" si="0"/>
        <v>1</v>
      </c>
      <c r="I44" s="158"/>
      <c r="J44" s="160"/>
    </row>
    <row r="45" spans="1:10" s="19" customFormat="1" ht="35.1" customHeight="1" x14ac:dyDescent="0.25">
      <c r="A45" s="17" t="s">
        <v>154</v>
      </c>
      <c r="B45" s="168" t="s">
        <v>204</v>
      </c>
      <c r="C45" s="171" t="s">
        <v>75</v>
      </c>
      <c r="D45" s="13" t="s">
        <v>77</v>
      </c>
      <c r="E45" s="7" t="s">
        <v>71</v>
      </c>
      <c r="F45" s="98">
        <f>'Часть 2 Показат. объема'!G21</f>
        <v>2400</v>
      </c>
      <c r="G45" s="98">
        <f>'Часть 2 Показат. объема'!H21</f>
        <v>1724</v>
      </c>
      <c r="H45" s="8">
        <f t="shared" si="0"/>
        <v>0.71833333333333338</v>
      </c>
      <c r="I45" s="169" t="s">
        <v>168</v>
      </c>
      <c r="J45" s="170" t="s">
        <v>169</v>
      </c>
    </row>
    <row r="46" spans="1:10" s="19" customFormat="1" ht="31.5" x14ac:dyDescent="0.25">
      <c r="A46" s="17" t="s">
        <v>155</v>
      </c>
      <c r="B46" s="163"/>
      <c r="C46" s="172"/>
      <c r="D46" s="13" t="s">
        <v>56</v>
      </c>
      <c r="E46" s="7" t="s">
        <v>207</v>
      </c>
      <c r="F46" s="14">
        <v>90</v>
      </c>
      <c r="G46" s="14">
        <v>94</v>
      </c>
      <c r="H46" s="8">
        <f t="shared" si="0"/>
        <v>1.0444444444444445</v>
      </c>
      <c r="I46" s="157"/>
      <c r="J46" s="159"/>
    </row>
    <row r="47" spans="1:10" s="19" customFormat="1" ht="54.75" customHeight="1" x14ac:dyDescent="0.25">
      <c r="A47" s="17" t="s">
        <v>156</v>
      </c>
      <c r="B47" s="164"/>
      <c r="C47" s="173"/>
      <c r="D47" s="13" t="s">
        <v>54</v>
      </c>
      <c r="E47" s="7" t="s">
        <v>207</v>
      </c>
      <c r="F47" s="14">
        <v>100</v>
      </c>
      <c r="G47" s="14">
        <v>100</v>
      </c>
      <c r="H47" s="8">
        <f t="shared" si="0"/>
        <v>1</v>
      </c>
      <c r="I47" s="158"/>
      <c r="J47" s="160"/>
    </row>
    <row r="48" spans="1:10" s="19" customFormat="1" ht="35.1" customHeight="1" x14ac:dyDescent="0.25">
      <c r="A48" s="17" t="s">
        <v>158</v>
      </c>
      <c r="B48" s="168" t="s">
        <v>205</v>
      </c>
      <c r="C48" s="165" t="s">
        <v>211</v>
      </c>
      <c r="D48" s="13" t="s">
        <v>79</v>
      </c>
      <c r="E48" s="15" t="s">
        <v>81</v>
      </c>
      <c r="F48" s="98">
        <f>'Часть 2 Показат. объема'!G22</f>
        <v>70</v>
      </c>
      <c r="G48" s="98">
        <f>'Часть 2 Показат. объема'!H22</f>
        <v>41</v>
      </c>
      <c r="H48" s="8">
        <f>G48/F48</f>
        <v>0.58571428571428574</v>
      </c>
      <c r="I48" s="169" t="s">
        <v>224</v>
      </c>
      <c r="J48" s="170" t="s">
        <v>213</v>
      </c>
    </row>
    <row r="49" spans="1:10" s="19" customFormat="1" ht="38.25" customHeight="1" x14ac:dyDescent="0.25">
      <c r="A49" s="17" t="s">
        <v>159</v>
      </c>
      <c r="B49" s="163"/>
      <c r="C49" s="167"/>
      <c r="D49" s="13" t="s">
        <v>56</v>
      </c>
      <c r="E49" s="7" t="s">
        <v>207</v>
      </c>
      <c r="F49" s="78">
        <v>90</v>
      </c>
      <c r="G49" s="14">
        <v>90</v>
      </c>
      <c r="H49" s="8">
        <f t="shared" ref="H49:H50" si="2">G49/F49</f>
        <v>1</v>
      </c>
      <c r="I49" s="157"/>
      <c r="J49" s="159"/>
    </row>
    <row r="50" spans="1:10" s="19" customFormat="1" ht="31.5" x14ac:dyDescent="0.25">
      <c r="A50" s="17" t="s">
        <v>160</v>
      </c>
      <c r="B50" s="164"/>
      <c r="C50" s="166"/>
      <c r="D50" s="13" t="s">
        <v>54</v>
      </c>
      <c r="E50" s="7" t="s">
        <v>207</v>
      </c>
      <c r="F50" s="78">
        <v>100</v>
      </c>
      <c r="G50" s="14">
        <v>100</v>
      </c>
      <c r="H50" s="8">
        <f t="shared" si="2"/>
        <v>1</v>
      </c>
      <c r="I50" s="158"/>
      <c r="J50" s="160"/>
    </row>
    <row r="51" spans="1:10" s="19" customFormat="1" ht="15.75" customHeight="1" x14ac:dyDescent="0.25">
      <c r="A51" s="87"/>
      <c r="B51" s="125"/>
      <c r="C51" s="88"/>
      <c r="D51" s="89"/>
      <c r="E51" s="90"/>
      <c r="F51" s="91"/>
      <c r="G51" s="91"/>
      <c r="H51" s="92"/>
      <c r="I51" s="97"/>
      <c r="J51" s="97"/>
    </row>
    <row r="52" spans="1:10" s="19" customFormat="1" ht="35.1" customHeight="1" x14ac:dyDescent="0.25">
      <c r="A52" s="17" t="s">
        <v>161</v>
      </c>
      <c r="B52" s="163" t="s">
        <v>193</v>
      </c>
      <c r="C52" s="165" t="s">
        <v>208</v>
      </c>
      <c r="D52" s="13" t="s">
        <v>76</v>
      </c>
      <c r="E52" s="16" t="s">
        <v>81</v>
      </c>
      <c r="F52" s="100">
        <f>'Часть 2 Показат. объема'!G24</f>
        <v>265</v>
      </c>
      <c r="G52" s="100">
        <f>'Часть 2 Показат. объема'!H24</f>
        <v>210</v>
      </c>
      <c r="H52" s="8">
        <f>G52/F52</f>
        <v>0.79245283018867929</v>
      </c>
      <c r="I52" s="157"/>
      <c r="J52" s="159" t="s">
        <v>216</v>
      </c>
    </row>
    <row r="53" spans="1:10" s="19" customFormat="1" ht="43.5" customHeight="1" x14ac:dyDescent="0.25">
      <c r="A53" s="17" t="s">
        <v>162</v>
      </c>
      <c r="B53" s="164"/>
      <c r="C53" s="166"/>
      <c r="D53" s="13" t="s">
        <v>54</v>
      </c>
      <c r="E53" s="15" t="s">
        <v>207</v>
      </c>
      <c r="F53" s="79">
        <v>100</v>
      </c>
      <c r="G53" s="14">
        <v>100</v>
      </c>
      <c r="H53" s="8">
        <f t="shared" ref="H53" si="3">G53/F53</f>
        <v>1</v>
      </c>
      <c r="I53" s="158"/>
      <c r="J53" s="160"/>
    </row>
    <row r="54" spans="1:10" s="19" customFormat="1" ht="74.25" customHeight="1" x14ac:dyDescent="0.25">
      <c r="A54" s="17" t="s">
        <v>181</v>
      </c>
      <c r="B54" s="126" t="s">
        <v>193</v>
      </c>
      <c r="C54" s="129" t="s">
        <v>192</v>
      </c>
      <c r="D54" s="13" t="s">
        <v>124</v>
      </c>
      <c r="E54" s="15" t="s">
        <v>157</v>
      </c>
      <c r="F54" s="98">
        <f>'Часть 2 Показат. объема'!G25</f>
        <v>4000</v>
      </c>
      <c r="G54" s="98">
        <f>'Часть 2 Показат. объема'!H25</f>
        <v>1632</v>
      </c>
      <c r="H54" s="8">
        <f>G54/F54</f>
        <v>0.40799999999999997</v>
      </c>
      <c r="I54" s="128" t="s">
        <v>210</v>
      </c>
      <c r="J54" s="41" t="s">
        <v>217</v>
      </c>
    </row>
    <row r="55" spans="1:10" s="19" customFormat="1" ht="56.25" customHeight="1" x14ac:dyDescent="0.25">
      <c r="A55" s="17" t="s">
        <v>182</v>
      </c>
      <c r="B55" s="161" t="s">
        <v>193</v>
      </c>
      <c r="C55" s="162" t="s">
        <v>196</v>
      </c>
      <c r="D55" s="13" t="s">
        <v>125</v>
      </c>
      <c r="E55" s="15" t="s">
        <v>81</v>
      </c>
      <c r="F55" s="98">
        <f>'Часть 2 Показат. объема'!G26</f>
        <v>400</v>
      </c>
      <c r="G55" s="98">
        <f>'Часть 2 Показат. объема'!H26</f>
        <v>359</v>
      </c>
      <c r="H55" s="8">
        <f>G55/F55</f>
        <v>0.89749999999999996</v>
      </c>
      <c r="I55" s="157"/>
      <c r="J55" s="159" t="s">
        <v>218</v>
      </c>
    </row>
    <row r="56" spans="1:10" s="19" customFormat="1" ht="50.1" customHeight="1" x14ac:dyDescent="0.25">
      <c r="A56" s="17" t="s">
        <v>183</v>
      </c>
      <c r="B56" s="161"/>
      <c r="C56" s="162"/>
      <c r="D56" s="13" t="s">
        <v>56</v>
      </c>
      <c r="E56" s="15" t="s">
        <v>55</v>
      </c>
      <c r="F56" s="14">
        <v>90</v>
      </c>
      <c r="G56" s="14">
        <v>93</v>
      </c>
      <c r="H56" s="8">
        <f>G56/F56</f>
        <v>1.0333333333333334</v>
      </c>
      <c r="I56" s="158"/>
      <c r="J56" s="160"/>
    </row>
    <row r="57" spans="1:10" s="93" customFormat="1" ht="33" customHeight="1" x14ac:dyDescent="0.25">
      <c r="A57" s="132" t="s">
        <v>45</v>
      </c>
      <c r="B57" s="175" t="s">
        <v>46</v>
      </c>
      <c r="C57" s="176"/>
      <c r="D57" s="177"/>
      <c r="E57" s="109" t="s">
        <v>47</v>
      </c>
      <c r="F57" s="110">
        <f>F6+F9+F12+F15+F30+F18+F21+F33+F36+F39+F42+F45+F52+F54+F55+F48</f>
        <v>27397</v>
      </c>
      <c r="G57" s="110">
        <f>G6+G9+G12+G15+G30+G18+G21+G33+G36+G39+G42+G45+G52+G54+G55+G48</f>
        <v>16733</v>
      </c>
      <c r="H57" s="130">
        <f>G57/F57</f>
        <v>0.61076030222287114</v>
      </c>
      <c r="I57" s="131" t="s">
        <v>47</v>
      </c>
      <c r="J57" s="131"/>
    </row>
  </sheetData>
  <mergeCells count="70">
    <mergeCell ref="J12:J14"/>
    <mergeCell ref="B12:B14"/>
    <mergeCell ref="C12:C14"/>
    <mergeCell ref="I12:I14"/>
    <mergeCell ref="B57:D57"/>
    <mergeCell ref="J15:J17"/>
    <mergeCell ref="B15:B17"/>
    <mergeCell ref="J21:J23"/>
    <mergeCell ref="I18:I20"/>
    <mergeCell ref="J18:J20"/>
    <mergeCell ref="I15:I17"/>
    <mergeCell ref="C15:C17"/>
    <mergeCell ref="B24:B26"/>
    <mergeCell ref="C24:C26"/>
    <mergeCell ref="I24:I26"/>
    <mergeCell ref="B18:B20"/>
    <mergeCell ref="J6:J8"/>
    <mergeCell ref="B9:B11"/>
    <mergeCell ref="C9:C11"/>
    <mergeCell ref="I9:I11"/>
    <mergeCell ref="J9:J11"/>
    <mergeCell ref="C30:C32"/>
    <mergeCell ref="A2:I2"/>
    <mergeCell ref="B6:B8"/>
    <mergeCell ref="C6:C8"/>
    <mergeCell ref="I6:I8"/>
    <mergeCell ref="C18:C20"/>
    <mergeCell ref="B21:B23"/>
    <mergeCell ref="C21:C23"/>
    <mergeCell ref="I21:I23"/>
    <mergeCell ref="J24:J26"/>
    <mergeCell ref="I33:I35"/>
    <mergeCell ref="J33:J35"/>
    <mergeCell ref="B36:B38"/>
    <mergeCell ref="C36:C38"/>
    <mergeCell ref="I36:I38"/>
    <mergeCell ref="J36:J38"/>
    <mergeCell ref="B33:B35"/>
    <mergeCell ref="C33:C35"/>
    <mergeCell ref="I30:I32"/>
    <mergeCell ref="J30:J32"/>
    <mergeCell ref="I27:I29"/>
    <mergeCell ref="J27:J29"/>
    <mergeCell ref="B27:B29"/>
    <mergeCell ref="C27:C29"/>
    <mergeCell ref="B30:B32"/>
    <mergeCell ref="C48:C50"/>
    <mergeCell ref="B48:B50"/>
    <mergeCell ref="I39:I41"/>
    <mergeCell ref="J39:J41"/>
    <mergeCell ref="B39:B41"/>
    <mergeCell ref="C39:C41"/>
    <mergeCell ref="J48:J50"/>
    <mergeCell ref="I48:I50"/>
    <mergeCell ref="B42:B44"/>
    <mergeCell ref="C42:C44"/>
    <mergeCell ref="I42:I44"/>
    <mergeCell ref="J42:J44"/>
    <mergeCell ref="I45:I47"/>
    <mergeCell ref="J45:J47"/>
    <mergeCell ref="B45:B47"/>
    <mergeCell ref="C45:C47"/>
    <mergeCell ref="I55:I56"/>
    <mergeCell ref="J55:J56"/>
    <mergeCell ref="B55:B56"/>
    <mergeCell ref="C55:C56"/>
    <mergeCell ref="B52:B53"/>
    <mergeCell ref="I52:I53"/>
    <mergeCell ref="J52:J53"/>
    <mergeCell ref="C52:C53"/>
  </mergeCells>
  <pageMargins left="0.39370078740157483" right="0.39370078740157483" top="0.98425196850393704" bottom="0.59055118110236227" header="0.19685039370078741" footer="0"/>
  <pageSetup paperSize="9" scale="5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
  <sheetViews>
    <sheetView topLeftCell="O1" zoomScale="68" zoomScaleNormal="68" workbookViewId="0">
      <selection activeCell="W22" sqref="W22"/>
    </sheetView>
  </sheetViews>
  <sheetFormatPr defaultRowHeight="15" x14ac:dyDescent="0.25"/>
  <cols>
    <col min="1" max="1" width="34.7109375" style="30" hidden="1" customWidth="1"/>
    <col min="2" max="2" width="20.7109375" hidden="1" customWidth="1"/>
    <col min="3" max="5" width="12.5703125" hidden="1" customWidth="1"/>
    <col min="6" max="7" width="16.7109375" hidden="1" customWidth="1"/>
    <col min="8" max="8" width="17.5703125" hidden="1" customWidth="1"/>
    <col min="9" max="9" width="21.85546875" hidden="1" customWidth="1"/>
    <col min="10" max="10" width="21.5703125" hidden="1" customWidth="1"/>
    <col min="11" max="11" width="15.5703125" hidden="1" customWidth="1"/>
    <col min="12" max="12" width="17.140625" hidden="1" customWidth="1"/>
    <col min="13" max="13" width="15.42578125" hidden="1" customWidth="1"/>
    <col min="14" max="14" width="15" hidden="1" customWidth="1"/>
  </cols>
  <sheetData>
    <row r="1" spans="1:14" x14ac:dyDescent="0.25">
      <c r="A1" s="182" t="s">
        <v>120</v>
      </c>
      <c r="B1" s="184" t="s">
        <v>104</v>
      </c>
      <c r="C1" s="178" t="s">
        <v>106</v>
      </c>
      <c r="D1" s="178" t="s">
        <v>105</v>
      </c>
      <c r="E1" s="178" t="s">
        <v>110</v>
      </c>
      <c r="F1" s="178" t="s">
        <v>107</v>
      </c>
      <c r="G1" s="178" t="s">
        <v>108</v>
      </c>
      <c r="H1" s="178" t="s">
        <v>109</v>
      </c>
      <c r="I1" s="178" t="s">
        <v>111</v>
      </c>
      <c r="J1" s="179" t="s">
        <v>118</v>
      </c>
      <c r="K1" s="179" t="s">
        <v>112</v>
      </c>
      <c r="L1" s="179" t="s">
        <v>113</v>
      </c>
      <c r="M1" s="179" t="s">
        <v>116</v>
      </c>
      <c r="N1" s="180" t="s">
        <v>119</v>
      </c>
    </row>
    <row r="2" spans="1:14" s="44" customFormat="1" ht="93" customHeight="1" x14ac:dyDescent="0.25">
      <c r="A2" s="183"/>
      <c r="B2" s="184"/>
      <c r="C2" s="178"/>
      <c r="D2" s="178"/>
      <c r="E2" s="178"/>
      <c r="F2" s="178"/>
      <c r="G2" s="178"/>
      <c r="H2" s="178"/>
      <c r="I2" s="178"/>
      <c r="J2" s="179"/>
      <c r="K2" s="179"/>
      <c r="L2" s="179"/>
      <c r="M2" s="179"/>
      <c r="N2" s="181"/>
    </row>
    <row r="3" spans="1:14" s="44" customFormat="1" ht="15" customHeight="1" x14ac:dyDescent="0.25">
      <c r="A3" s="49"/>
      <c r="B3" s="35">
        <v>1</v>
      </c>
      <c r="C3" s="40">
        <v>2</v>
      </c>
      <c r="D3" s="40">
        <v>3</v>
      </c>
      <c r="E3" s="40">
        <v>4</v>
      </c>
      <c r="F3" s="40">
        <v>5</v>
      </c>
      <c r="G3" s="40">
        <v>6</v>
      </c>
      <c r="H3" s="40">
        <v>7</v>
      </c>
      <c r="I3" s="50">
        <v>8</v>
      </c>
      <c r="J3" s="52">
        <v>9</v>
      </c>
      <c r="K3" s="52">
        <v>10</v>
      </c>
      <c r="L3" s="52">
        <v>11</v>
      </c>
      <c r="M3" s="65">
        <v>12</v>
      </c>
      <c r="N3" s="52">
        <v>13</v>
      </c>
    </row>
    <row r="4" spans="1:14" s="9" customFormat="1" ht="30" customHeight="1" x14ac:dyDescent="0.25">
      <c r="A4" s="6" t="s">
        <v>92</v>
      </c>
      <c r="B4" s="8">
        <f>'Часть 2 Показат. объема'!J8</f>
        <v>580500</v>
      </c>
      <c r="C4" s="8">
        <f>'Часть 2 Показат. объема'!G8</f>
        <v>2150</v>
      </c>
      <c r="D4" s="8">
        <f>'Часть 2 Показат. объема'!H8</f>
        <v>1151</v>
      </c>
      <c r="E4" s="8">
        <f>'Часть 4 Показатели качества'!F6</f>
        <v>2150</v>
      </c>
      <c r="F4" s="46">
        <f>D4/C4</f>
        <v>0.53534883720930238</v>
      </c>
      <c r="G4" s="46" t="e">
        <f>B4/B23</f>
        <v>#REF!</v>
      </c>
      <c r="H4" s="46"/>
      <c r="I4" s="51">
        <f>D4/E4</f>
        <v>0.53534883720930238</v>
      </c>
      <c r="J4" s="45"/>
      <c r="K4" s="45"/>
      <c r="L4" s="45"/>
      <c r="M4" s="62"/>
      <c r="N4" s="45"/>
    </row>
    <row r="5" spans="1:14" s="9" customFormat="1" ht="30" customHeight="1" x14ac:dyDescent="0.25">
      <c r="A5" s="6" t="s">
        <v>93</v>
      </c>
      <c r="B5" s="8">
        <f>'Часть 2 Показат. объема'!J9</f>
        <v>316000</v>
      </c>
      <c r="C5" s="8">
        <f>'Часть 2 Показат. объема'!G9</f>
        <v>800</v>
      </c>
      <c r="D5" s="8">
        <f>'Часть 2 Показат. объема'!H9</f>
        <v>563</v>
      </c>
      <c r="E5" s="8">
        <f>'Часть 4 Показатели качества'!F9</f>
        <v>800</v>
      </c>
      <c r="F5" s="46">
        <f t="shared" ref="F5:F10" si="0">D5/C5</f>
        <v>0.70374999999999999</v>
      </c>
      <c r="G5" s="46" t="e">
        <f>B5/B23</f>
        <v>#REF!</v>
      </c>
      <c r="H5" s="46"/>
      <c r="I5" s="51">
        <f t="shared" ref="I5:I22" si="1">D5/E5</f>
        <v>0.70374999999999999</v>
      </c>
      <c r="J5" s="45"/>
      <c r="K5" s="45"/>
      <c r="L5" s="45"/>
      <c r="M5" s="66"/>
      <c r="N5" s="45"/>
    </row>
    <row r="6" spans="1:14" s="9" customFormat="1" ht="30" customHeight="1" x14ac:dyDescent="0.25">
      <c r="A6" s="6" t="s">
        <v>94</v>
      </c>
      <c r="B6" s="8">
        <f>'Часть 2 Показат. объема'!J10</f>
        <v>840000</v>
      </c>
      <c r="C6" s="8">
        <f>'Часть 2 Показат. объема'!G10</f>
        <v>2800</v>
      </c>
      <c r="D6" s="8">
        <f>'Часть 2 Показат. объема'!H10</f>
        <v>1255</v>
      </c>
      <c r="E6" s="8">
        <f>'Часть 4 Показатели качества'!F12</f>
        <v>2800</v>
      </c>
      <c r="F6" s="46">
        <f t="shared" si="0"/>
        <v>0.44821428571428573</v>
      </c>
      <c r="G6" s="46" t="e">
        <f>B6/B23</f>
        <v>#REF!</v>
      </c>
      <c r="H6" s="46"/>
      <c r="I6" s="51">
        <f t="shared" si="1"/>
        <v>0.44821428571428573</v>
      </c>
      <c r="J6" s="45"/>
      <c r="K6" s="45"/>
      <c r="L6" s="45"/>
      <c r="M6" s="66"/>
      <c r="N6" s="45"/>
    </row>
    <row r="7" spans="1:14" s="9" customFormat="1" ht="30" customHeight="1" x14ac:dyDescent="0.25">
      <c r="A7" s="6" t="s">
        <v>95</v>
      </c>
      <c r="B7" s="8">
        <f>'Часть 2 Показат. объема'!J11</f>
        <v>20750</v>
      </c>
      <c r="C7" s="8">
        <f>'Часть 2 Показат. объема'!G11</f>
        <v>50</v>
      </c>
      <c r="D7" s="8">
        <f>'Часть 2 Показат. объема'!H11</f>
        <v>45</v>
      </c>
      <c r="E7" s="8">
        <f>'Часть 4 Показатели качества'!F15</f>
        <v>50</v>
      </c>
      <c r="F7" s="46">
        <f t="shared" si="0"/>
        <v>0.9</v>
      </c>
      <c r="G7" s="46" t="e">
        <f>B7/B23</f>
        <v>#REF!</v>
      </c>
      <c r="H7" s="46"/>
      <c r="I7" s="51">
        <f t="shared" si="1"/>
        <v>0.9</v>
      </c>
      <c r="J7" s="45"/>
      <c r="K7" s="45"/>
      <c r="L7" s="45"/>
      <c r="M7" s="66"/>
      <c r="N7" s="45"/>
    </row>
    <row r="8" spans="1:14" s="9" customFormat="1" ht="30" customHeight="1" x14ac:dyDescent="0.25">
      <c r="A8" s="6" t="s">
        <v>96</v>
      </c>
      <c r="B8" s="8">
        <f>'Часть 2 Показат. объема'!J12</f>
        <v>1500000</v>
      </c>
      <c r="C8" s="8">
        <f>'Часть 2 Показат. объема'!G12</f>
        <v>6000</v>
      </c>
      <c r="D8" s="8">
        <f>'Часть 2 Показат. объема'!H12</f>
        <v>3910</v>
      </c>
      <c r="E8" s="8">
        <f>'Часть 4 Показатели качества'!F18</f>
        <v>6000</v>
      </c>
      <c r="F8" s="46">
        <f t="shared" si="0"/>
        <v>0.65166666666666662</v>
      </c>
      <c r="G8" s="46" t="e">
        <f>B8/B23</f>
        <v>#REF!</v>
      </c>
      <c r="H8" s="46"/>
      <c r="I8" s="51">
        <f t="shared" si="1"/>
        <v>0.65166666666666662</v>
      </c>
      <c r="J8" s="45"/>
      <c r="K8" s="45"/>
      <c r="L8" s="45"/>
      <c r="M8" s="66"/>
      <c r="N8" s="45"/>
    </row>
    <row r="9" spans="1:14" s="9" customFormat="1" ht="30" customHeight="1" x14ac:dyDescent="0.25">
      <c r="A9" s="6" t="s">
        <v>97</v>
      </c>
      <c r="B9" s="8">
        <f>'Часть 2 Показат. объема'!J13</f>
        <v>360000</v>
      </c>
      <c r="C9" s="8">
        <f>'Часть 2 Показат. объема'!G13</f>
        <v>1000</v>
      </c>
      <c r="D9" s="8">
        <f>'Часть 2 Показат. объема'!H13</f>
        <v>1063</v>
      </c>
      <c r="E9" s="8">
        <f>'Часть 4 Показатели качества'!F21</f>
        <v>1000</v>
      </c>
      <c r="F9" s="46">
        <f t="shared" si="0"/>
        <v>1.0629999999999999</v>
      </c>
      <c r="G9" s="46" t="e">
        <f>B9/B23</f>
        <v>#REF!</v>
      </c>
      <c r="H9" s="46"/>
      <c r="I9" s="51">
        <f t="shared" si="1"/>
        <v>1.0629999999999999</v>
      </c>
      <c r="J9" s="45"/>
      <c r="K9" s="45"/>
      <c r="L9" s="45"/>
      <c r="M9" s="66"/>
      <c r="N9" s="45"/>
    </row>
    <row r="10" spans="1:14" s="9" customFormat="1" ht="30" customHeight="1" x14ac:dyDescent="0.25">
      <c r="A10" s="6" t="s">
        <v>101</v>
      </c>
      <c r="B10" s="8" t="e">
        <f>'Часть 2 Показат. объема'!#REF!</f>
        <v>#REF!</v>
      </c>
      <c r="C10" s="8" t="e">
        <f>'Часть 2 Показат. объема'!#REF!</f>
        <v>#REF!</v>
      </c>
      <c r="D10" s="8" t="e">
        <f>'Часть 2 Показат. объема'!#REF!</f>
        <v>#REF!</v>
      </c>
      <c r="E10" s="8">
        <f>'Часть 4 Показатели качества'!F45</f>
        <v>2400</v>
      </c>
      <c r="F10" s="46" t="e">
        <f t="shared" si="0"/>
        <v>#REF!</v>
      </c>
      <c r="G10" s="46" t="e">
        <f>B10/B23</f>
        <v>#REF!</v>
      </c>
      <c r="H10" s="46"/>
      <c r="I10" s="51" t="e">
        <f t="shared" si="1"/>
        <v>#REF!</v>
      </c>
      <c r="J10" s="45"/>
      <c r="K10" s="45"/>
      <c r="L10" s="45"/>
      <c r="M10" s="66"/>
      <c r="N10" s="45"/>
    </row>
    <row r="11" spans="1:14" s="9" customFormat="1" ht="45" customHeight="1" x14ac:dyDescent="0.25">
      <c r="A11" s="53" t="s">
        <v>114</v>
      </c>
      <c r="B11" s="57" t="e">
        <f>SUM(B4:B10)</f>
        <v>#REF!</v>
      </c>
      <c r="C11" s="57" t="e">
        <f>SUM(C4:C10)</f>
        <v>#REF!</v>
      </c>
      <c r="D11" s="57" t="e">
        <f t="shared" ref="D11:E11" si="2">SUM(D4:D10)</f>
        <v>#REF!</v>
      </c>
      <c r="E11" s="57">
        <f t="shared" si="2"/>
        <v>15200</v>
      </c>
      <c r="F11" s="57"/>
      <c r="G11" s="58"/>
      <c r="H11" s="58"/>
      <c r="I11" s="59"/>
      <c r="J11" s="60">
        <f>'Часть 1 Фин.обеспеч.'!B9</f>
        <v>8472898.6699999999</v>
      </c>
      <c r="K11" s="60">
        <f>'Часть 1 Фин.обеспеч.'!D9</f>
        <v>0</v>
      </c>
      <c r="L11" s="60">
        <f>'Часть 1 Фин.обеспеч.'!E9</f>
        <v>5662990.8099999996</v>
      </c>
      <c r="M11" s="67">
        <f>L11/(J11+K11)</f>
        <v>0.66836522311437008</v>
      </c>
      <c r="N11" s="60"/>
    </row>
    <row r="12" spans="1:14" s="9" customFormat="1" ht="51" customHeight="1" x14ac:dyDescent="0.25">
      <c r="A12" s="26" t="s">
        <v>102</v>
      </c>
      <c r="B12" s="8">
        <f>'Часть 2 Показат. объема'!J16</f>
        <v>3036600</v>
      </c>
      <c r="C12" s="8">
        <f>'Часть 2 Показат. объема'!G16</f>
        <v>1800</v>
      </c>
      <c r="D12" s="8">
        <f>'Часть 2 Показат. объема'!H16</f>
        <v>982</v>
      </c>
      <c r="E12" s="8">
        <f>'Часть 4 Показатели качества'!F30</f>
        <v>1800</v>
      </c>
      <c r="F12" s="46">
        <f>D12/C12</f>
        <v>0.54555555555555557</v>
      </c>
      <c r="G12" s="46" t="e">
        <f>B12/B23</f>
        <v>#REF!</v>
      </c>
      <c r="H12" s="46"/>
      <c r="I12" s="51">
        <f t="shared" si="1"/>
        <v>0.54555555555555557</v>
      </c>
      <c r="J12" s="54">
        <f>'Часть 1 Фин.обеспеч.'!B13</f>
        <v>1485050</v>
      </c>
      <c r="K12" s="54">
        <f>'Часть 1 Фин.обеспеч.'!D13</f>
        <v>0</v>
      </c>
      <c r="L12" s="54">
        <f>'Часть 1 Фин.обеспеч.'!E13</f>
        <v>964822.45</v>
      </c>
      <c r="M12" s="68">
        <f t="shared" ref="M12:M22" si="3">L12/(J12+K12)</f>
        <v>0.6496902124507592</v>
      </c>
      <c r="N12" s="54"/>
    </row>
    <row r="13" spans="1:14" s="9" customFormat="1" ht="15" customHeight="1" x14ac:dyDescent="0.25">
      <c r="A13" s="43"/>
      <c r="B13" s="45"/>
      <c r="C13" s="45"/>
      <c r="D13" s="45"/>
      <c r="E13" s="8"/>
      <c r="F13" s="46"/>
      <c r="G13" s="47"/>
      <c r="H13" s="47"/>
      <c r="I13" s="51"/>
      <c r="J13" s="54"/>
      <c r="K13" s="54"/>
      <c r="L13" s="54"/>
      <c r="M13" s="68"/>
      <c r="N13" s="54"/>
    </row>
    <row r="14" spans="1:14" s="9" customFormat="1" ht="30" customHeight="1" x14ac:dyDescent="0.25">
      <c r="A14" s="26" t="s">
        <v>86</v>
      </c>
      <c r="B14" s="8">
        <f>'Часть 2 Показат. объема'!J17</f>
        <v>8289750</v>
      </c>
      <c r="C14" s="8">
        <f>'Часть 2 Показат. объема'!G17</f>
        <v>5250</v>
      </c>
      <c r="D14" s="8">
        <f>'Часть 2 Показат. объема'!H17</f>
        <v>3480</v>
      </c>
      <c r="E14" s="8">
        <f>'Часть 4 Показатели качества'!F33</f>
        <v>5250</v>
      </c>
      <c r="F14" s="46">
        <f>D14/C14</f>
        <v>0.66285714285714281</v>
      </c>
      <c r="G14" s="46" t="e">
        <f>B14/B23</f>
        <v>#REF!</v>
      </c>
      <c r="H14" s="46"/>
      <c r="I14" s="51">
        <f t="shared" si="1"/>
        <v>0.66285714285714281</v>
      </c>
      <c r="J14" s="54">
        <f>'Часть 1 Фин.обеспеч.'!B11</f>
        <v>9161700</v>
      </c>
      <c r="K14" s="54">
        <f>'Часть 1 Фин.обеспеч.'!D11</f>
        <v>0</v>
      </c>
      <c r="L14" s="54">
        <f>'Часть 1 Фин.обеспеч.'!E11</f>
        <v>4295037.07</v>
      </c>
      <c r="M14" s="68">
        <f t="shared" si="3"/>
        <v>0.46880350480805966</v>
      </c>
      <c r="N14" s="54"/>
    </row>
    <row r="15" spans="1:14" s="9" customFormat="1" ht="15" customHeight="1" x14ac:dyDescent="0.25">
      <c r="A15" s="26"/>
      <c r="B15" s="8"/>
      <c r="C15" s="8"/>
      <c r="D15" s="8"/>
      <c r="E15" s="8"/>
      <c r="F15" s="46"/>
      <c r="G15" s="46"/>
      <c r="H15" s="46"/>
      <c r="I15" s="51"/>
      <c r="J15" s="54"/>
      <c r="K15" s="54"/>
      <c r="L15" s="54"/>
      <c r="M15" s="68"/>
      <c r="N15" s="54"/>
    </row>
    <row r="16" spans="1:14" s="9" customFormat="1" ht="30" customHeight="1" x14ac:dyDescent="0.25">
      <c r="A16" s="26" t="s">
        <v>103</v>
      </c>
      <c r="B16" s="8">
        <f>'Часть 2 Показат. объема'!J18</f>
        <v>823900</v>
      </c>
      <c r="C16" s="8">
        <f>'Часть 2 Показат. объема'!G18</f>
        <v>140</v>
      </c>
      <c r="D16" s="8">
        <f>'Часть 2 Показат. объема'!H18</f>
        <v>152</v>
      </c>
      <c r="E16" s="8">
        <f>'Часть 4 Показатели качества'!F36</f>
        <v>140</v>
      </c>
      <c r="F16" s="46">
        <f>D16/C16</f>
        <v>1.0857142857142856</v>
      </c>
      <c r="G16" s="46" t="e">
        <f>B16/B23</f>
        <v>#REF!</v>
      </c>
      <c r="H16" s="46"/>
      <c r="I16" s="51">
        <f t="shared" si="1"/>
        <v>1.0857142857142856</v>
      </c>
      <c r="J16" s="54"/>
      <c r="K16" s="54"/>
      <c r="L16" s="54"/>
      <c r="M16" s="68"/>
      <c r="N16" s="54"/>
    </row>
    <row r="17" spans="1:14" s="9" customFormat="1" ht="30" customHeight="1" x14ac:dyDescent="0.25">
      <c r="A17" s="26" t="s">
        <v>98</v>
      </c>
      <c r="B17" s="8">
        <f>'Часть 2 Показат. объема'!J19</f>
        <v>4695340</v>
      </c>
      <c r="C17" s="8">
        <f>'Часть 2 Показат. объема'!G19</f>
        <v>260</v>
      </c>
      <c r="D17" s="8">
        <f>'Часть 2 Показат. объема'!H19</f>
        <v>155</v>
      </c>
      <c r="E17" s="8">
        <f>'Часть 4 Показатели качества'!F39</f>
        <v>260</v>
      </c>
      <c r="F17" s="46">
        <f>D17/C17</f>
        <v>0.59615384615384615</v>
      </c>
      <c r="G17" s="46" t="e">
        <f>B17/B23</f>
        <v>#REF!</v>
      </c>
      <c r="H17" s="46"/>
      <c r="I17" s="51">
        <f t="shared" si="1"/>
        <v>0.59615384615384615</v>
      </c>
      <c r="J17" s="54"/>
      <c r="K17" s="54"/>
      <c r="L17" s="54"/>
      <c r="M17" s="68"/>
      <c r="N17" s="54"/>
    </row>
    <row r="18" spans="1:14" s="9" customFormat="1" ht="50.1" customHeight="1" x14ac:dyDescent="0.25">
      <c r="A18" s="53" t="s">
        <v>115</v>
      </c>
      <c r="B18" s="57">
        <f>SUM(B16:B17)</f>
        <v>5519240</v>
      </c>
      <c r="C18" s="57">
        <f t="shared" ref="C18:E18" si="4">SUM(C16:C17)</f>
        <v>400</v>
      </c>
      <c r="D18" s="57">
        <f t="shared" si="4"/>
        <v>307</v>
      </c>
      <c r="E18" s="57">
        <f t="shared" si="4"/>
        <v>400</v>
      </c>
      <c r="F18" s="58"/>
      <c r="G18" s="58"/>
      <c r="H18" s="58"/>
      <c r="I18" s="59"/>
      <c r="J18" s="60" t="e">
        <f>'Часть 1 Фин.обеспеч.'!#REF!</f>
        <v>#REF!</v>
      </c>
      <c r="K18" s="60" t="e">
        <f>'Часть 1 Фин.обеспеч.'!#REF!</f>
        <v>#REF!</v>
      </c>
      <c r="L18" s="60" t="e">
        <f>'Часть 1 Фин.обеспеч.'!#REF!</f>
        <v>#REF!</v>
      </c>
      <c r="M18" s="67" t="e">
        <f t="shared" si="3"/>
        <v>#REF!</v>
      </c>
      <c r="N18" s="60"/>
    </row>
    <row r="19" spans="1:14" s="9" customFormat="1" ht="30" customHeight="1" x14ac:dyDescent="0.25">
      <c r="A19" s="42" t="s">
        <v>99</v>
      </c>
      <c r="B19" s="23">
        <f>'Часть 2 Показат. объема'!J25</f>
        <v>1800000</v>
      </c>
      <c r="C19" s="23">
        <f>'Часть 2 Показат. объема'!G25</f>
        <v>4000</v>
      </c>
      <c r="D19" s="23">
        <f>'Часть 2 Показат. объема'!H25</f>
        <v>1632</v>
      </c>
      <c r="E19" s="8" t="e">
        <f>'Часть 4 Показатели качества'!#REF!</f>
        <v>#REF!</v>
      </c>
      <c r="F19" s="46">
        <f>D19/C19</f>
        <v>0.40799999999999997</v>
      </c>
      <c r="G19" s="48" t="e">
        <f>B19/B23</f>
        <v>#REF!</v>
      </c>
      <c r="H19" s="46"/>
      <c r="I19" s="51" t="e">
        <f t="shared" si="1"/>
        <v>#REF!</v>
      </c>
      <c r="J19" s="63"/>
      <c r="K19" s="63"/>
      <c r="L19" s="63"/>
      <c r="M19" s="68"/>
      <c r="N19" s="63"/>
    </row>
    <row r="20" spans="1:14" s="9" customFormat="1" ht="30" customHeight="1" x14ac:dyDescent="0.25">
      <c r="A20" s="42" t="s">
        <v>100</v>
      </c>
      <c r="B20" s="23">
        <f>'Часть 2 Показат. объема'!J26</f>
        <v>590000</v>
      </c>
      <c r="C20" s="23">
        <f>'Часть 2 Показат. объема'!G26</f>
        <v>400</v>
      </c>
      <c r="D20" s="23">
        <f>'Часть 2 Показат. объема'!H26</f>
        <v>359</v>
      </c>
      <c r="E20" s="8">
        <f>'Часть 4 Показатели качества'!F42</f>
        <v>12</v>
      </c>
      <c r="F20" s="46">
        <f>D20/C20</f>
        <v>0.89749999999999996</v>
      </c>
      <c r="G20" s="48" t="e">
        <f>B20/B23</f>
        <v>#REF!</v>
      </c>
      <c r="H20" s="46"/>
      <c r="I20" s="51">
        <f t="shared" si="1"/>
        <v>29.916666666666668</v>
      </c>
      <c r="J20" s="63"/>
      <c r="K20" s="63"/>
      <c r="L20" s="63"/>
      <c r="M20" s="68"/>
      <c r="N20" s="63"/>
    </row>
    <row r="21" spans="1:14" s="9" customFormat="1" ht="42.75" customHeight="1" x14ac:dyDescent="0.25">
      <c r="A21" s="64" t="s">
        <v>117</v>
      </c>
      <c r="B21" s="60">
        <f>SUM(B19:B20)</f>
        <v>2390000</v>
      </c>
      <c r="C21" s="60">
        <f t="shared" ref="C21:E21" si="5">SUM(C19:C20)</f>
        <v>4400</v>
      </c>
      <c r="D21" s="60">
        <f t="shared" si="5"/>
        <v>1991</v>
      </c>
      <c r="E21" s="60" t="e">
        <f t="shared" si="5"/>
        <v>#REF!</v>
      </c>
      <c r="F21" s="58"/>
      <c r="G21" s="61"/>
      <c r="H21" s="61"/>
      <c r="I21" s="59"/>
      <c r="J21" s="60">
        <f>'Часть 1 Фин.обеспеч.'!B12</f>
        <v>3219000</v>
      </c>
      <c r="K21" s="60">
        <f>'Часть 1 Фин.обеспеч.'!D12</f>
        <v>0</v>
      </c>
      <c r="L21" s="60">
        <f>'Часть 1 Фин.обеспеч.'!E12</f>
        <v>2061169.59</v>
      </c>
      <c r="M21" s="67">
        <f t="shared" si="3"/>
        <v>0.64031363466915192</v>
      </c>
      <c r="N21" s="60"/>
    </row>
    <row r="22" spans="1:14" s="9" customFormat="1" ht="35.1" customHeight="1" x14ac:dyDescent="0.25">
      <c r="A22" s="6" t="s">
        <v>51</v>
      </c>
      <c r="B22" s="8" t="e">
        <f>'Часть 2 Показат. объема'!#REF!</f>
        <v>#REF!</v>
      </c>
      <c r="C22" s="8" t="e">
        <f>'Часть 2 Показат. объема'!#REF!</f>
        <v>#REF!</v>
      </c>
      <c r="D22" s="8" t="e">
        <f>'Часть 2 Показат. объема'!#REF!</f>
        <v>#REF!</v>
      </c>
      <c r="E22" s="8" t="e">
        <f>'Часть 4 Показатели качества'!#REF!</f>
        <v>#REF!</v>
      </c>
      <c r="F22" s="46" t="e">
        <f>D22/C22</f>
        <v>#REF!</v>
      </c>
      <c r="G22" s="46" t="e">
        <f>B22/B23</f>
        <v>#REF!</v>
      </c>
      <c r="H22" s="46"/>
      <c r="I22" s="51" t="e">
        <f t="shared" si="1"/>
        <v>#REF!</v>
      </c>
      <c r="J22" s="63">
        <f>'Часть 1 Фин.обеспеч.'!B14</f>
        <v>380205</v>
      </c>
      <c r="K22" s="63">
        <f>'Часть 1 Фин.обеспеч.'!D14</f>
        <v>0</v>
      </c>
      <c r="L22" s="63">
        <f>'Часть 1 Фин.обеспеч.'!E14</f>
        <v>172406.08</v>
      </c>
      <c r="M22" s="68">
        <f t="shared" si="3"/>
        <v>0.453455583172236</v>
      </c>
      <c r="N22" s="63"/>
    </row>
    <row r="23" spans="1:14" s="19" customFormat="1" ht="24.95" customHeight="1" x14ac:dyDescent="0.25">
      <c r="A23" s="29" t="s">
        <v>87</v>
      </c>
      <c r="B23" s="54" t="e">
        <f>SUM(B4:B22)-B11-B18-B21</f>
        <v>#REF!</v>
      </c>
      <c r="C23" s="54" t="e">
        <f t="shared" ref="C23:E23" si="6">SUM(C4:C22)-C11-C18-C21</f>
        <v>#REF!</v>
      </c>
      <c r="D23" s="54" t="e">
        <f t="shared" si="6"/>
        <v>#REF!</v>
      </c>
      <c r="E23" s="54" t="e">
        <f t="shared" si="6"/>
        <v>#REF!</v>
      </c>
      <c r="F23" s="55"/>
      <c r="G23" s="55"/>
      <c r="H23" s="70" t="e">
        <f>G4*F4+G5*F5+G6*F6+G7*F7+G8*F8+G9*F9+G10*F10+G12*F12+G14*F14+G16*F16+G17*F17+G19*F19+G20*F20+G22*F22</f>
        <v>#REF!</v>
      </c>
      <c r="I23" s="56" t="e">
        <f>D23/E23</f>
        <v>#REF!</v>
      </c>
      <c r="J23" s="54" t="e">
        <f>SUM(J4:J22)</f>
        <v>#REF!</v>
      </c>
      <c r="K23" s="54" t="e">
        <f t="shared" ref="K23:L23" si="7">SUM(K4:K22)</f>
        <v>#REF!</v>
      </c>
      <c r="L23" s="54" t="e">
        <f t="shared" si="7"/>
        <v>#REF!</v>
      </c>
      <c r="M23" s="71" t="e">
        <f>L23/(J23+K23)</f>
        <v>#REF!</v>
      </c>
      <c r="N23" s="69" t="e">
        <f>H23/M23</f>
        <v>#REF!</v>
      </c>
    </row>
  </sheetData>
  <mergeCells count="14">
    <mergeCell ref="A1:A2"/>
    <mergeCell ref="G1:G2"/>
    <mergeCell ref="B1:B2"/>
    <mergeCell ref="C1:C2"/>
    <mergeCell ref="D1:D2"/>
    <mergeCell ref="F1:F2"/>
    <mergeCell ref="H1:H2"/>
    <mergeCell ref="M1:M2"/>
    <mergeCell ref="N1:N2"/>
    <mergeCell ref="I1:I2"/>
    <mergeCell ref="E1:E2"/>
    <mergeCell ref="J1:J2"/>
    <mergeCell ref="K1:K2"/>
    <mergeCell ref="L1:L2"/>
  </mergeCells>
  <pageMargins left="0.39370078740157483" right="0.39370078740157483" top="0.39370078740157483" bottom="0.39370078740157483" header="0.39370078740157483" footer="0"/>
  <pageSetup paperSize="9" scale="5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Титульный лист</vt:lpstr>
      <vt:lpstr>Часть 1 Фин.обеспеч.</vt:lpstr>
      <vt:lpstr>Часть 2 Показат. объема</vt:lpstr>
      <vt:lpstr>Часть 3 Эффективность</vt:lpstr>
      <vt:lpstr>Часть 4 Показатели качества</vt:lpstr>
      <vt:lpstr>Лист1</vt:lpstr>
    </vt:vector>
  </TitlesOfParts>
  <Company>ДЗТО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Отдел программ</dc:creator>
  <cp:lastModifiedBy>Лена Б. Чемакина</cp:lastModifiedBy>
  <cp:lastPrinted>2018-10-10T11:17:06Z</cp:lastPrinted>
  <dcterms:created xsi:type="dcterms:W3CDTF">2016-05-13T06:43:36Z</dcterms:created>
  <dcterms:modified xsi:type="dcterms:W3CDTF">2018-10-10T11:17:27Z</dcterms:modified>
</cp:coreProperties>
</file>