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600" windowWidth="19440" windowHeight="11475" activeTab="1"/>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 name="Лист1" sheetId="6" r:id="rId6"/>
  </sheets>
  <calcPr calcId="144525"/>
</workbook>
</file>

<file path=xl/calcChain.xml><?xml version="1.0" encoding="utf-8"?>
<calcChain xmlns="http://schemas.openxmlformats.org/spreadsheetml/2006/main">
  <c r="H57" i="5" l="1"/>
  <c r="G27" i="5" l="1"/>
  <c r="G24" i="5"/>
  <c r="J27" i="3" l="1"/>
  <c r="J22" i="3"/>
  <c r="J24" i="3"/>
  <c r="J17" i="3"/>
  <c r="J16" i="3"/>
  <c r="J20" i="3"/>
  <c r="J19" i="3"/>
  <c r="J18" i="3"/>
  <c r="J26" i="3"/>
  <c r="J21" i="3"/>
  <c r="J25" i="3"/>
  <c r="J13" i="3"/>
  <c r="J12" i="3"/>
  <c r="J15" i="3"/>
  <c r="J14" i="3"/>
  <c r="F27" i="5"/>
  <c r="H27" i="5" s="1"/>
  <c r="F24" i="5"/>
  <c r="H24" i="5" s="1"/>
  <c r="H29" i="5"/>
  <c r="H28" i="5"/>
  <c r="H26" i="5"/>
  <c r="H25" i="5"/>
  <c r="G24" i="3"/>
  <c r="G17" i="3"/>
  <c r="G16" i="3"/>
  <c r="G20" i="3"/>
  <c r="G19" i="3"/>
  <c r="G18" i="3"/>
  <c r="G26" i="3"/>
  <c r="G21" i="3"/>
  <c r="G25" i="3"/>
  <c r="G13" i="3"/>
  <c r="G12" i="3"/>
  <c r="G15" i="3"/>
  <c r="I15" i="3" s="1"/>
  <c r="G14" i="3"/>
  <c r="I14" i="3" s="1"/>
  <c r="G11" i="3"/>
  <c r="G10" i="3"/>
  <c r="G9" i="3"/>
  <c r="G8" i="3"/>
  <c r="G27" i="3" l="1"/>
  <c r="I14" i="2"/>
  <c r="I9" i="2"/>
  <c r="I10" i="2"/>
  <c r="I11" i="2"/>
  <c r="I12" i="2"/>
  <c r="I13" i="2"/>
  <c r="I8" i="2"/>
  <c r="I16" i="2" l="1"/>
  <c r="G55" i="5"/>
  <c r="G54" i="5"/>
  <c r="G52" i="5"/>
  <c r="G48" i="5"/>
  <c r="G45" i="5"/>
  <c r="G42" i="5"/>
  <c r="G39" i="5"/>
  <c r="G36" i="5"/>
  <c r="G33" i="5"/>
  <c r="G21" i="5"/>
  <c r="G18" i="5"/>
  <c r="F18" i="5"/>
  <c r="G30" i="5"/>
  <c r="G15" i="5"/>
  <c r="F15" i="5"/>
  <c r="G12" i="5"/>
  <c r="F12" i="5"/>
  <c r="G9" i="5"/>
  <c r="F9" i="5"/>
  <c r="G6" i="5"/>
  <c r="F6" i="5"/>
  <c r="F55" i="5" l="1"/>
  <c r="F54" i="5" l="1"/>
  <c r="F52" i="5"/>
  <c r="F48" i="5"/>
  <c r="F45" i="5"/>
  <c r="F42" i="5"/>
  <c r="F39" i="5"/>
  <c r="F36" i="5"/>
  <c r="F33" i="5"/>
  <c r="F21" i="5"/>
  <c r="F30" i="5"/>
  <c r="I22" i="3" l="1"/>
  <c r="G57" i="5"/>
  <c r="F57" i="5"/>
  <c r="H50" i="5"/>
  <c r="H49" i="5"/>
  <c r="H48" i="5"/>
  <c r="H56" i="5" l="1"/>
  <c r="H55" i="5"/>
  <c r="H54" i="5"/>
  <c r="H52" i="5"/>
  <c r="H53" i="5"/>
  <c r="I24" i="3"/>
  <c r="I21" i="3"/>
  <c r="I20" i="3"/>
  <c r="E15" i="2"/>
  <c r="D15" i="2"/>
  <c r="B15" i="2"/>
  <c r="F13" i="2"/>
  <c r="F12" i="2"/>
  <c r="F10" i="2"/>
  <c r="F9" i="2"/>
  <c r="F8" i="2"/>
  <c r="I15" i="2" l="1"/>
  <c r="H6" i="5"/>
  <c r="C15" i="2" l="1"/>
  <c r="F14" i="2"/>
  <c r="F11" i="2"/>
  <c r="F15" i="2" l="1"/>
  <c r="B7" i="4" s="1"/>
  <c r="I8" i="3"/>
  <c r="H7" i="5"/>
  <c r="H8" i="5"/>
  <c r="H9" i="5"/>
  <c r="H10" i="5"/>
  <c r="H11" i="5"/>
  <c r="H12" i="5"/>
  <c r="H13" i="5"/>
  <c r="H14" i="5"/>
  <c r="H15" i="5"/>
  <c r="H16" i="5"/>
  <c r="H17" i="5"/>
  <c r="H30" i="5"/>
  <c r="H31" i="5"/>
  <c r="H32" i="5"/>
  <c r="H18" i="5"/>
  <c r="H19" i="5"/>
  <c r="H20" i="5"/>
  <c r="H21" i="5"/>
  <c r="H22" i="5"/>
  <c r="H23" i="5"/>
  <c r="H33" i="5"/>
  <c r="H34" i="5"/>
  <c r="H35" i="5"/>
  <c r="H36" i="5"/>
  <c r="H37" i="5"/>
  <c r="H38" i="5"/>
  <c r="H39" i="5"/>
  <c r="H40" i="5"/>
  <c r="H41" i="5"/>
  <c r="H42" i="5"/>
  <c r="H43" i="5"/>
  <c r="H44" i="5"/>
  <c r="H45" i="5"/>
  <c r="H46" i="5"/>
  <c r="H47" i="5"/>
  <c r="H27" i="3"/>
  <c r="K8" i="3" l="1"/>
  <c r="I9" i="3"/>
  <c r="I10" i="3"/>
  <c r="I11" i="3"/>
  <c r="I16" i="3"/>
  <c r="I12" i="3"/>
  <c r="I13" i="3"/>
  <c r="I17" i="3"/>
  <c r="I18" i="3"/>
  <c r="I19" i="3"/>
  <c r="I25" i="3"/>
  <c r="I26" i="3"/>
  <c r="L8" i="3" l="1"/>
  <c r="L27" i="3" s="1"/>
  <c r="A7" i="4" s="1"/>
  <c r="C7" i="4" s="1"/>
  <c r="K14" i="3"/>
  <c r="K15" i="3"/>
  <c r="K22" i="3"/>
  <c r="K21" i="3"/>
  <c r="K24" i="3"/>
  <c r="K20" i="3"/>
  <c r="K11" i="3"/>
  <c r="K18" i="3"/>
  <c r="K13" i="3"/>
  <c r="K9" i="3"/>
  <c r="K10" i="3"/>
  <c r="K25" i="3"/>
  <c r="K12" i="3"/>
  <c r="K19" i="3"/>
  <c r="K16" i="3"/>
  <c r="K26" i="3"/>
  <c r="K17" i="3"/>
</calcChain>
</file>

<file path=xl/sharedStrings.xml><?xml version="1.0" encoding="utf-8"?>
<sst xmlns="http://schemas.openxmlformats.org/spreadsheetml/2006/main" count="415" uniqueCount="224">
  <si>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</si>
  <si>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</si>
  <si>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</si>
  <si>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</si>
  <si>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</si>
  <si>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</si>
  <si>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</si>
  <si>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</si>
  <si>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</si>
  <si>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</si>
  <si>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</si>
  <si>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государственного учреждения</t>
  </si>
  <si>
    <t>Тверской области</t>
  </si>
  <si>
    <t>подпись расшифровка подписи</t>
  </si>
  <si>
    <t>СОГЛАСОВАНО</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</si>
  <si>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</si>
  <si>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</si>
  <si>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</si>
  <si>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</si>
  <si>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</si>
  <si>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</si>
  <si>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</si>
  <si>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</si>
  <si>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</si>
  <si>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</si>
  <si>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</si>
  <si>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</si>
  <si>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</si>
  <si>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</si>
  <si>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</si>
  <si>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</si>
  <si>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</si>
  <si>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</si>
  <si>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</si>
  <si>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</si>
  <si>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</si>
  <si>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</si>
  <si>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</si>
  <si>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</si>
  <si>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</si>
  <si>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</si>
  <si>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</si>
  <si>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</si>
  <si>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</si>
  <si>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Характеристика причин отклонения показателя качества государственной услуги (работы) от нормативного значения</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</si>
  <si>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</si>
  <si>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</si>
  <si>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</si>
  <si>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</si>
  <si>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</si>
  <si>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ГБУЗ "Торжокская ЦРБ"</t>
  </si>
  <si>
    <t>ИТОГО:</t>
  </si>
  <si>
    <t>Число посещений</t>
  </si>
  <si>
    <t>Соответствие порядкам оказания медицинской помощи и на основе стандартов медицинской помощи</t>
  </si>
  <si>
    <t>% (процент)</t>
  </si>
  <si>
    <t>Удовлетворенность потребителей в оказанной государственной услуге</t>
  </si>
  <si>
    <t>1.2</t>
  </si>
  <si>
    <t>1.3</t>
  </si>
  <si>
    <t>Число обращений</t>
  </si>
  <si>
    <t>2.1</t>
  </si>
  <si>
    <t>2.2.</t>
  </si>
  <si>
    <t>2.3</t>
  </si>
  <si>
    <t>3.1.</t>
  </si>
  <si>
    <t>3.2.</t>
  </si>
  <si>
    <t>3.3</t>
  </si>
  <si>
    <t>4.1</t>
  </si>
  <si>
    <t>4.2</t>
  </si>
  <si>
    <t>4.3</t>
  </si>
  <si>
    <r>
      <t xml:space="preserve">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 </t>
    </r>
    <r>
      <rPr>
        <b/>
        <sz val="12"/>
        <color rgb="FF0000FF"/>
        <rFont val="Times New Roman"/>
        <family val="1"/>
        <charset val="204"/>
      </rPr>
      <t xml:space="preserve">Скорая, в том числе скорая специализированная, медицинская помощь </t>
    </r>
    <r>
      <rPr>
        <sz val="12"/>
        <color rgb="FF0000FF"/>
        <rFont val="Times New Roman"/>
        <family val="1"/>
        <charset val="204"/>
      </rPr>
      <t>(за исключением санитарно-авиационной эвакуации). Вне медицинской организации.</t>
    </r>
  </si>
  <si>
    <t>Вызовов</t>
  </si>
  <si>
    <t>Человек</t>
  </si>
  <si>
    <r>
      <rPr>
        <b/>
        <sz val="12"/>
        <color rgb="FF0000FF"/>
        <rFont val="Times New Roman"/>
        <family val="1"/>
        <charset val="204"/>
      </rPr>
      <t xml:space="preserve">Паллиативная медицинская помощь. </t>
    </r>
    <r>
      <rPr>
        <sz val="12"/>
        <color rgb="FF0000FF"/>
        <rFont val="Times New Roman"/>
        <family val="1"/>
        <charset val="204"/>
      </rPr>
      <t>Стационар</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</si>
  <si>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rgb="FF0000FF"/>
        <rFont val="Times New Roman"/>
        <family val="1"/>
        <charset val="204"/>
      </rPr>
      <t xml:space="preserve"> Психиатрия-наркология (в части наркологии). Стационар.    </t>
    </r>
  </si>
  <si>
    <r>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t>
    </r>
    <r>
      <rPr>
        <b/>
        <sz val="12"/>
        <color rgb="FF0000FF"/>
        <rFont val="Times New Roman"/>
        <family val="1"/>
        <charset val="204"/>
      </rPr>
      <t>Фтизиатрия. Дневной стационар</t>
    </r>
  </si>
  <si>
    <r>
      <t>Первичная медико-санитарная помощь, не включенная в базовую программу обязательного медицинского страхования.</t>
    </r>
    <r>
      <rPr>
        <b/>
        <sz val="12"/>
        <color rgb="FF0000FF"/>
        <rFont val="Times New Roman"/>
        <family val="1"/>
        <charset val="204"/>
      </rPr>
      <t xml:space="preserve"> Проведение углубленных медицинских исследования спортсменов</t>
    </r>
    <r>
      <rPr>
        <sz val="12"/>
        <color rgb="FF0000FF"/>
        <rFont val="Times New Roman"/>
        <family val="1"/>
        <charset val="204"/>
      </rPr>
      <t xml:space="preserve"> субъекта Российской Федерации. Условия оказания - </t>
    </r>
    <r>
      <rPr>
        <b/>
        <sz val="12"/>
        <color rgb="FF0000FF"/>
        <rFont val="Times New Roman"/>
        <family val="1"/>
        <charset val="204"/>
      </rPr>
      <t>Амбулаторно.</t>
    </r>
  </si>
  <si>
    <t>Количество исследований</t>
  </si>
  <si>
    <t>Число спортсменов</t>
  </si>
  <si>
    <t>Случаи лечения</t>
  </si>
  <si>
    <t>Случаи госпитализации</t>
  </si>
  <si>
    <t>Количество койко-дней</t>
  </si>
  <si>
    <t>Единица</t>
  </si>
  <si>
    <t>Условная единица</t>
  </si>
  <si>
    <t>Койко-дней</t>
  </si>
  <si>
    <t>Количество вызовов</t>
  </si>
  <si>
    <r>
      <t xml:space="preserve">Индекс освоения финансовых средств, (гр. 6 = </t>
    </r>
    <r>
      <rPr>
        <sz val="10"/>
        <color rgb="FF0000FF"/>
        <rFont val="Times New Roman"/>
        <family val="1"/>
        <charset val="204"/>
      </rPr>
      <t>гр. 5</t>
    </r>
    <r>
      <rPr>
        <sz val="10"/>
        <color theme="1"/>
        <rFont val="Times New Roman"/>
        <family val="1"/>
        <charset val="204"/>
      </rPr>
      <t xml:space="preserve"> /( </t>
    </r>
    <r>
      <rPr>
        <sz val="10"/>
        <color rgb="FF0000FF"/>
        <rFont val="Times New Roman"/>
        <family val="1"/>
        <charset val="204"/>
      </rPr>
      <t>гр. 2</t>
    </r>
    <r>
      <rPr>
        <sz val="10"/>
        <color theme="1"/>
        <rFont val="Times New Roman"/>
        <family val="1"/>
        <charset val="204"/>
      </rPr>
      <t xml:space="preserve"> + </t>
    </r>
    <r>
      <rPr>
        <sz val="10"/>
        <color rgb="FF0000FF"/>
        <rFont val="Times New Roman"/>
        <family val="1"/>
        <charset val="204"/>
      </rPr>
      <t>гр. 3</t>
    </r>
    <r>
      <rPr>
        <sz val="10"/>
        <color theme="1"/>
        <rFont val="Times New Roman"/>
        <family val="1"/>
        <charset val="204"/>
      </rPr>
      <t xml:space="preserve"> + </t>
    </r>
    <r>
      <rPr>
        <sz val="10"/>
        <color rgb="FF0000FF"/>
        <rFont val="Times New Roman"/>
        <family val="1"/>
        <charset val="204"/>
      </rPr>
      <t>гр. 4</t>
    </r>
    <r>
      <rPr>
        <sz val="10"/>
        <color theme="1"/>
        <rFont val="Times New Roman"/>
        <family val="1"/>
        <charset val="204"/>
      </rPr>
      <t>))</t>
    </r>
  </si>
  <si>
    <r>
      <rPr>
        <b/>
        <sz val="12"/>
        <color theme="1"/>
        <rFont val="Times New Roman"/>
        <family val="1"/>
        <charset val="204"/>
      </rPr>
      <t>Специализированная стационарная медицинская помощь</t>
    </r>
    <r>
      <rPr>
        <sz val="12"/>
        <color theme="1"/>
        <rFont val="Times New Roman"/>
        <family val="1"/>
        <charset val="204"/>
      </rPr>
      <t xml:space="preserve"> (за исключением высокотехнологичной медицинской помощи), не включенная в базовую программу обязательного медицинского страхования.</t>
    </r>
  </si>
  <si>
    <r>
      <rPr>
        <b/>
        <sz val="12"/>
        <color theme="1"/>
        <rFont val="Times New Roman"/>
        <family val="1"/>
        <charset val="204"/>
      </rPr>
      <t xml:space="preserve">Амбулаторно-поликлиническая медицинская помощь </t>
    </r>
    <r>
      <rPr>
        <sz val="12"/>
        <color theme="1"/>
        <rFont val="Times New Roman"/>
        <family val="1"/>
        <charset val="204"/>
      </rPr>
      <t>(первичная медико-санитарная помощь), не включенная в базовую программу обязательного медицинского страхования.</t>
    </r>
  </si>
  <si>
    <t xml:space="preserve">Паллиативная медицинская помощь. </t>
  </si>
  <si>
    <r>
      <rPr>
        <b/>
        <sz val="12"/>
        <color theme="1"/>
        <rFont val="Times New Roman"/>
        <family val="1"/>
        <charset val="204"/>
      </rPr>
      <t>Специализированная медицинская помощь</t>
    </r>
    <r>
      <rPr>
        <sz val="12"/>
        <color theme="1"/>
        <rFont val="Times New Roman"/>
        <family val="1"/>
        <charset val="204"/>
      </rPr>
      <t xml:space="preserve"> </t>
    </r>
    <r>
      <rPr>
        <b/>
        <sz val="12"/>
        <color theme="1"/>
        <rFont val="Times New Roman"/>
        <family val="1"/>
        <charset val="204"/>
      </rPr>
      <t xml:space="preserve">в дневных стационарах всех типов </t>
    </r>
    <r>
      <rPr>
        <sz val="12"/>
        <color theme="1"/>
        <rFont val="Times New Roman"/>
        <family val="1"/>
        <charset val="204"/>
      </rPr>
      <t>(за исключением высокотехнологичной медицинской помощи), не включенная в базовую программу обязательного медицинского страхования.</t>
    </r>
  </si>
  <si>
    <t>ИТОГО</t>
  </si>
  <si>
    <t>Врач работает на 0,5 ставки (ребенок до 3-х лет). По году показатели будут выровнены.</t>
  </si>
  <si>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</si>
  <si>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Психиатрия. Амбулаторно</t>
    </r>
    <r>
      <rPr>
        <sz val="12"/>
        <color rgb="FF0000FF"/>
        <rFont val="Times New Roman"/>
        <family val="1"/>
        <charset val="204"/>
      </rPr>
      <t>.</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</si>
  <si>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Фтизиатрия. Амбулаторно.</t>
    </r>
  </si>
  <si>
    <t>Критерий финансово-экономической эффективности реализации государственного задания в отчетном периоде,                                                                    гр. 3 = гр. 1 / гр. 2</t>
  </si>
  <si>
    <r>
      <rPr>
        <b/>
        <sz val="12"/>
        <rFont val="Times New Roman"/>
        <family val="1"/>
        <charset val="204"/>
      </rPr>
      <t>Специализированная (санитарно-авиационная) скорая медицинская помощь</t>
    </r>
    <r>
      <rPr>
        <sz val="12"/>
        <rFont val="Times New Roman"/>
        <family val="1"/>
        <charset val="204"/>
      </rPr>
      <t xml:space="preserve">, не включенная в базовую программу обязательного медицинского страхования. </t>
    </r>
    <r>
      <rPr>
        <b/>
        <sz val="12"/>
        <color theme="1"/>
        <rFont val="Times New Roman"/>
        <family val="1"/>
        <charset val="204"/>
      </rPr>
      <t/>
    </r>
  </si>
  <si>
    <r>
      <t xml:space="preserve">Патологоанатомическая служба, </t>
    </r>
    <r>
      <rPr>
        <sz val="12"/>
        <rFont val="Times New Roman"/>
        <family val="1"/>
        <charset val="204"/>
      </rPr>
      <t xml:space="preserve">не включенная в базовую программу обязательного медицинского страхования. </t>
    </r>
  </si>
  <si>
    <t>Главный врач ГБУЗ "Торжокская ЦРБ"</t>
  </si>
  <si>
    <t xml:space="preserve">                  И. А. Выжимов</t>
  </si>
  <si>
    <r>
      <t xml:space="preserve">Незастрахованные, </t>
    </r>
    <r>
      <rPr>
        <sz val="12"/>
        <rFont val="Times New Roman"/>
        <family val="1"/>
        <charset val="204"/>
      </rPr>
      <t xml:space="preserve">не включенная в базовую программу обязательного медицинского страхования. </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</si>
  <si>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color theme="1"/>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</si>
  <si>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color theme="1"/>
        <rFont val="Times New Roman"/>
        <family val="1"/>
        <charset val="204"/>
      </rPr>
      <t>Психиатрия. Амбулаторно.</t>
    </r>
  </si>
  <si>
    <r>
      <t xml:space="preserve">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 </t>
    </r>
    <r>
      <rPr>
        <b/>
        <sz val="13"/>
        <color theme="1"/>
        <rFont val="Times New Roman"/>
        <family val="1"/>
        <charset val="204"/>
      </rPr>
      <t>Скорая, в том числе скорая специализированная, медицинская помощь</t>
    </r>
    <r>
      <rPr>
        <b/>
        <sz val="12"/>
        <color theme="1"/>
        <rFont val="Times New Roman"/>
        <family val="1"/>
        <charset val="204"/>
      </rPr>
      <t xml:space="preserve"> </t>
    </r>
    <r>
      <rPr>
        <sz val="12"/>
        <color theme="1"/>
        <rFont val="Times New Roman"/>
        <family val="1"/>
        <charset val="204"/>
      </rPr>
      <t>(за исключением санитарно-авиационной эвакуации). Вне медицинской организации.</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</si>
  <si>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color theme="1"/>
        <rFont val="Times New Roman"/>
        <family val="1"/>
        <charset val="204"/>
      </rPr>
      <t>Фтизиатрия. Амбулаторно.</t>
    </r>
  </si>
  <si>
    <r>
      <rPr>
        <b/>
        <sz val="13"/>
        <color theme="1"/>
        <rFont val="Times New Roman"/>
        <family val="1"/>
        <charset val="204"/>
      </rPr>
      <t xml:space="preserve">Паллиативная медицинская помощь. </t>
    </r>
    <r>
      <rPr>
        <sz val="12"/>
        <color theme="1"/>
        <rFont val="Times New Roman"/>
        <family val="1"/>
        <charset val="204"/>
      </rPr>
      <t>Стационар</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</si>
  <si>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theme="1"/>
        <rFont val="Times New Roman"/>
        <family val="1"/>
        <charset val="204"/>
      </rPr>
      <t xml:space="preserve"> </t>
    </r>
    <r>
      <rPr>
        <b/>
        <sz val="13"/>
        <color theme="1"/>
        <rFont val="Times New Roman"/>
        <family val="1"/>
        <charset val="204"/>
      </rPr>
      <t xml:space="preserve">Психиатрия-наркология (в части наркологии). Стационар.    </t>
    </r>
  </si>
  <si>
    <r>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t>
    </r>
    <r>
      <rPr>
        <b/>
        <sz val="13"/>
        <color theme="1"/>
        <rFont val="Times New Roman"/>
        <family val="1"/>
        <charset val="204"/>
      </rPr>
      <t>Фтизиатрия. Дневной стационар</t>
    </r>
  </si>
  <si>
    <r>
      <t>Первичная медико-санитарная помощь, не включенная в базовую программу обязательного медицинского страхования.</t>
    </r>
    <r>
      <rPr>
        <b/>
        <sz val="12"/>
        <color theme="1"/>
        <rFont val="Times New Roman"/>
        <family val="1"/>
        <charset val="204"/>
      </rPr>
      <t xml:space="preserve"> </t>
    </r>
    <r>
      <rPr>
        <b/>
        <sz val="13"/>
        <color theme="1"/>
        <rFont val="Times New Roman"/>
        <family val="1"/>
        <charset val="204"/>
      </rPr>
      <t>Проведение углубленных медицинских исследования спортсменов</t>
    </r>
    <r>
      <rPr>
        <sz val="12"/>
        <color theme="1"/>
        <rFont val="Times New Roman"/>
        <family val="1"/>
        <charset val="204"/>
      </rPr>
      <t xml:space="preserve"> субъекта Российской Федерации. Условия оказания - </t>
    </r>
    <r>
      <rPr>
        <b/>
        <sz val="12"/>
        <color theme="1"/>
        <rFont val="Times New Roman"/>
        <family val="1"/>
        <charset val="204"/>
      </rPr>
      <t>Амбулаторно.</t>
    </r>
  </si>
  <si>
    <t>Количество освидетельствований</t>
  </si>
  <si>
    <t>Количество выполненных работ</t>
  </si>
  <si>
    <t>Наименование показателя контроля за исполнением государственного задания</t>
  </si>
  <si>
    <t>Источники ифнормации о фактическом значении показателя контроля за исполеннием государственного задания</t>
  </si>
  <si>
    <t>5.1</t>
  </si>
  <si>
    <t>5.2</t>
  </si>
  <si>
    <t>5.3</t>
  </si>
  <si>
    <t>6.2</t>
  </si>
  <si>
    <t>6.3</t>
  </si>
  <si>
    <t>7.1</t>
  </si>
  <si>
    <t>7.2</t>
  </si>
  <si>
    <t>7.3</t>
  </si>
  <si>
    <t>8.1</t>
  </si>
  <si>
    <t>8.2</t>
  </si>
  <si>
    <t>8.3</t>
  </si>
  <si>
    <t>9.1</t>
  </si>
  <si>
    <t>9.3</t>
  </si>
  <si>
    <t>9.2</t>
  </si>
  <si>
    <t>10.1</t>
  </si>
  <si>
    <t>10.2</t>
  </si>
  <si>
    <t>10.3</t>
  </si>
  <si>
    <t>11.1</t>
  </si>
  <si>
    <t>11.2</t>
  </si>
  <si>
    <t>11.3</t>
  </si>
  <si>
    <t>12.1</t>
  </si>
  <si>
    <t>12.2</t>
  </si>
  <si>
    <t>12.3</t>
  </si>
  <si>
    <t>13.1</t>
  </si>
  <si>
    <t>13.2</t>
  </si>
  <si>
    <t>13.3</t>
  </si>
  <si>
    <t>14.1</t>
  </si>
  <si>
    <t>14.2</t>
  </si>
  <si>
    <t>14.3</t>
  </si>
  <si>
    <t>Штук</t>
  </si>
  <si>
    <t>15.1</t>
  </si>
  <si>
    <t>15.2</t>
  </si>
  <si>
    <t>15.3</t>
  </si>
  <si>
    <t>16.1</t>
  </si>
  <si>
    <t>16.2</t>
  </si>
  <si>
    <t>Часть IV. Достижение показателей качества государственной услуги (работы)</t>
  </si>
  <si>
    <t>Принят на работу еще один врач-психиатр (внешний совместитель).</t>
  </si>
  <si>
    <t xml:space="preserve">Врач-психиатр (внешний совместитель) находился на больничном листе. </t>
  </si>
  <si>
    <t xml:space="preserve">Единственный специалист (врач-нарколог) находился на больничном листе. </t>
  </si>
  <si>
    <t>Активная работа с диспансерной группой.</t>
  </si>
  <si>
    <t xml:space="preserve">Работа с контингетном подлежащим обследованию специалиста. </t>
  </si>
  <si>
    <t>Форма № 062/у "Врачебно-контрольная карта диспансерного наблюдения спортсмена".</t>
  </si>
  <si>
    <t>В. А. Синода</t>
  </si>
  <si>
    <t>Заместитель Председателя Правительства Тверской области -  Министр здравоохранения Тверской области</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</si>
  <si>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</si>
  <si>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</si>
  <si>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</si>
  <si>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Активная работа со страховыми медицинскими организациями.</t>
  </si>
  <si>
    <t>Не полная укомплектованность выездных бригад, уход в декретный отпуск 5 фельдшеров.</t>
  </si>
  <si>
    <t>"15" января 2018 г.</t>
  </si>
  <si>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color theme="1"/>
        <rFont val="Times New Roman"/>
        <family val="1"/>
        <charset val="204"/>
      </rPr>
      <t>Венерология. Амбулаторно.</t>
    </r>
  </si>
  <si>
    <t>Работы:</t>
  </si>
  <si>
    <r>
      <t xml:space="preserve">                                                                         </t>
    </r>
    <r>
      <rPr>
        <b/>
        <sz val="13"/>
        <color theme="1"/>
        <rFont val="Times New Roman"/>
        <family val="1"/>
        <charset val="204"/>
      </rPr>
      <t>Патологическая анатомия</t>
    </r>
  </si>
  <si>
    <t>Услуги:</t>
  </si>
  <si>
    <t>6.1</t>
  </si>
  <si>
    <t>17.1</t>
  </si>
  <si>
    <t>18.1</t>
  </si>
  <si>
    <t>18.2</t>
  </si>
  <si>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theme="1"/>
        <rFont val="Times New Roman"/>
        <family val="1"/>
        <charset val="204"/>
      </rPr>
      <t xml:space="preserve"> </t>
    </r>
    <r>
      <rPr>
        <b/>
        <sz val="13"/>
        <color theme="1"/>
        <rFont val="Times New Roman"/>
        <family val="1"/>
        <charset val="204"/>
      </rPr>
      <t xml:space="preserve">Психиатрия-наркология (в части психиатрии). Стационар.    </t>
    </r>
  </si>
  <si>
    <t>Медицинская помощь в экстренной форме незастрахованным гражданам в системе обязательного медицинского страхования.</t>
  </si>
  <si>
    <t>08209000000000001001102</t>
  </si>
  <si>
    <t>Категрории потребителей государственной услуги (работы)</t>
  </si>
  <si>
    <t>Физические лица, в т.ч.отдельные категории граждан, установленные законодательством РФ</t>
  </si>
  <si>
    <t>08200001200500003003102</t>
  </si>
  <si>
    <t>08200001200400003006103</t>
  </si>
  <si>
    <t>08200001200100003002103</t>
  </si>
  <si>
    <t>08200000700000003001103</t>
  </si>
  <si>
    <t xml:space="preserve">Медицинское освидетельствование на состояние опьянения (алкогольного, наркотического или иного токсического). </t>
  </si>
  <si>
    <t>Работа</t>
  </si>
  <si>
    <t>Органы государственной власти; физические лица, юридические лица</t>
  </si>
  <si>
    <t>Спортсмены субъектов РФ</t>
  </si>
  <si>
    <t>Оказание медицинской помощи при проведении официальных физкультурных, спортивных и массово-спортивных зрелищных мероприятий в соответствии с распорядительными документами субъекта Российской Федерации.</t>
  </si>
  <si>
    <t>Физические лица</t>
  </si>
  <si>
    <t>08202000200000001006101</t>
  </si>
  <si>
    <t>08202000100000001007101</t>
  </si>
  <si>
    <t>08202000300000002004102</t>
  </si>
  <si>
    <t>Отдельные категории граждан, установленные законодательством РФ; Физические лица</t>
  </si>
  <si>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Венерология. Амбулаторно.</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</si>
  <si>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rgb="FF0000FF"/>
        <rFont val="Times New Roman"/>
        <family val="1"/>
        <charset val="204"/>
      </rPr>
      <t xml:space="preserve"> Психиатрия-наркология (в части психиатрии). Стационар.    </t>
    </r>
  </si>
  <si>
    <t>08391001600000003009100</t>
  </si>
  <si>
    <t>08384000000000000009102</t>
  </si>
  <si>
    <t>08204000600000004007101</t>
  </si>
  <si>
    <t>Процент</t>
  </si>
  <si>
    <t xml:space="preserve">                                                                         Патологическая анатомия</t>
  </si>
  <si>
    <r>
      <t xml:space="preserve">Разрешенный к использованию остаток субсидии на выполнение государственного задания за отчетный финансовый год, руб. </t>
    </r>
    <r>
      <rPr>
        <i/>
        <sz val="10"/>
        <color rgb="FFFF0000"/>
        <rFont val="Times New Roman"/>
        <family val="1"/>
        <charset val="204"/>
      </rPr>
      <t>(остаток средств 2017 года)</t>
    </r>
  </si>
  <si>
    <t>Работа полиции.</t>
  </si>
  <si>
    <t xml:space="preserve">                                                                                          Медицинская помощь в экстренной форме незастрахованным гражданам в системе обязательного медицинского страхования.</t>
  </si>
  <si>
    <t>Форма № 065/у "Медицинская карта больного венерическими заболеваниями".                 Форма № 025-1/у "Талон амбулаторного пациента".</t>
  </si>
  <si>
    <t>Форма № 003/у «Медицинская карта стационарного больного».                            Форма № 066/у-02 "Статистическая карта выбывшего из стационара".</t>
  </si>
  <si>
    <t>Форма № 025/у "Медицинская карта амбулаторного больного".                                     Форма № 025-1/у "Талон амбулаторного пациента".</t>
  </si>
  <si>
    <t>Форма № 025/у "Медицинская карта амбулаторного больного"/Форма № 025/у-05-88 "Медицинская карта амбулаторного наркологического больного".                                     Форма № 025-1/у "Талон амбулаторного пациента".</t>
  </si>
  <si>
    <t>Форма № 013/у "Протокол (карта) патологоанатомического исселедования".               Форма № 014/у "Направление на патологогистологическое исселедование".</t>
  </si>
  <si>
    <t>Форма "Журнал регистрации медицинских освидетельствований на состояние опьянения (алкогольного, наркотического или иного токсического)".</t>
  </si>
  <si>
    <t>Форма № 067/у "Журнал регистрации медицинской помощи, оказываемой на занятиях физкультуры и спортивных мероприятиях".                                                    Форма № 068/у "Журнал медицинского обслуживания физкультурных мероприятий".</t>
  </si>
  <si>
    <t>Форма № 003/у «Медицинская карта стационарного больного».                            Форма № 066/у-02 "Статистическая карта выбывшего из стационара".                                       Форма № 066-1/у-02 "Статистическая карта выбывшего из психиатрического (наркологического) стационара".</t>
  </si>
  <si>
    <t>Форма № 025/у "Медицинская карта амбулаторного больного".                                  Форма № 061/у "Медицинская карта больного туберкулезом".                                           Форма № 025-1/у "Талон амбулаторного пациента".</t>
  </si>
  <si>
    <t>Форма № 109/у "Журнал записи вызовов скорой медицинской помощи".                            Форма № 110/у "Карта вызова скорой медицинской помощи".</t>
  </si>
  <si>
    <t>Не полная укомплектованность выездных бригад, уход в декретный отпуск фельдшеров.</t>
  </si>
  <si>
    <t>за отчетный период с 01.01.2018г.  по 30.06.2018г.</t>
  </si>
  <si>
    <t>(за 1 полугодие 2018 год)</t>
  </si>
  <si>
    <r>
      <t xml:space="preserve">Из предусмотренной суммы субсидии на год </t>
    </r>
    <r>
      <rPr>
        <u/>
        <sz val="11"/>
        <color rgb="FFFF0000"/>
        <rFont val="Times New Roman"/>
        <family val="1"/>
        <charset val="204"/>
      </rPr>
      <t xml:space="preserve">не разрешены к расходованию </t>
    </r>
    <r>
      <rPr>
        <sz val="11"/>
        <color theme="1"/>
        <rFont val="Times New Roman"/>
        <family val="1"/>
        <charset val="204"/>
      </rPr>
      <t xml:space="preserve">(КВР 244 КОСГУ 300) средства в сумме 259 452,87 руб.                                                                                                                                                          Контракт на поставку ГСМ на стадии заключения (103 484,00 руб.)                                                                                    Размещение аукциона на июль по печатной продукции (125 904,13 руб).                                                                                       Размещение аукциона на август по поставке ИМН (100 000,00 руб).                                                                                      Размещение аукциона на июль по поставке лекарственных средств.                      </t>
    </r>
  </si>
  <si>
    <r>
      <t xml:space="preserve">Из предусмотренной суммы субсидии на год </t>
    </r>
    <r>
      <rPr>
        <u/>
        <sz val="11"/>
        <color rgb="FFFF0000"/>
        <rFont val="Times New Roman"/>
        <family val="1"/>
        <charset val="204"/>
      </rPr>
      <t xml:space="preserve">не разрешены к расходованию </t>
    </r>
    <r>
      <rPr>
        <sz val="11"/>
        <color theme="1"/>
        <rFont val="Times New Roman"/>
        <family val="1"/>
        <charset val="204"/>
      </rPr>
      <t xml:space="preserve">(КВР 244 КОСГУ 300) средства в сумме 694 101,33 руб.                                                                                                                                                                Контракт на поставку продуктов питания на стадии принятия бюджетных обязательств (356907,21 руб.).                                                                                               Размещение аукциона на август по поставке ИМН (20 000,00 руб).                                                                      Размещение аукциона на июль по поставке лекарственных средств.   </t>
    </r>
  </si>
  <si>
    <t xml:space="preserve">Контракт на поставку ГСМ на стадии заключения (7 749,00 руб.)                                                                                   Размещение аукциона на июль по печатной продукции (1 120,00 руб).                                                                     Размещение аукциона на август по поставке ИМН (5 000,00 руб).                                                                           Размещение аукциона на июль по поставке лекарственных средств.   </t>
  </si>
  <si>
    <r>
      <t>Из предусмотренной суммы субсидии на год</t>
    </r>
    <r>
      <rPr>
        <u/>
        <sz val="11"/>
        <color rgb="FFFF0000"/>
        <rFont val="Times New Roman"/>
        <family val="1"/>
        <charset val="204"/>
      </rPr>
      <t xml:space="preserve"> не разрешены к расходованию </t>
    </r>
    <r>
      <rPr>
        <sz val="11"/>
        <rFont val="Times New Roman"/>
        <family val="1"/>
        <charset val="204"/>
      </rPr>
      <t xml:space="preserve">(КВР 244 КОСГУ 300) средства в сумме 249 902 руб.                                                                                                                                             Контракт на поставку ГСМ на стадии заключения (165 599,00 руб.)                                                                   Размещение аукциона на июль по печатной продукции (37 657,05 руб).                                                                Размещение аукциона на август по поставке ИМН (50 000,00 руб).                                                                   Размещение аукциона на июль по поставке лекарственных средств.                                                                </t>
    </r>
  </si>
  <si>
    <t xml:space="preserve">Контракт на поставку продуктов питания на стадии принятия бюджетных обязательств (13 888,29руб.).      Размещение аукциона на июль по поставке лекарственных средств.                                                                                                                                              </t>
  </si>
  <si>
    <r>
      <t xml:space="preserve">Из предусмотренной суммы субсидии на год </t>
    </r>
    <r>
      <rPr>
        <u/>
        <sz val="11"/>
        <color rgb="FFFF0000"/>
        <rFont val="Times New Roman"/>
        <family val="1"/>
        <charset val="204"/>
      </rPr>
      <t>не разрешены к расходованию</t>
    </r>
    <r>
      <rPr>
        <sz val="11"/>
        <color theme="1"/>
        <rFont val="Times New Roman"/>
        <family val="1"/>
        <charset val="204"/>
      </rPr>
      <t xml:space="preserve"> (КВР 244 КОСГУ 300) средства в сумме 1 280 050,00 руб.                                                                                                                                            Контракт на поставку продуктов питания на стадии принятия бюджетных обязательств (361 657,12руб.).                                                                                         Контракт на поставку ГСМ на стадии заключения (78 638,00 руб.)                                                                            Размещение аукциона на июль по печатной продукции (68 233,00 руб).                                                                Размещение аукциона на август по поставке ИМН (596 796,50 руб).                                                                   Размещение аукциона на июль по поставку плиты газовой (на 10 348,00 руб.).                                                                                                       Размещение аукциона на июль по поставке лекарственных средств.                                                                              </t>
    </r>
  </si>
  <si>
    <r>
      <t>Из предусмотренной суммы субсидии на год</t>
    </r>
    <r>
      <rPr>
        <u/>
        <sz val="11"/>
        <color rgb="FFFF0000"/>
        <rFont val="Times New Roman"/>
        <family val="1"/>
        <charset val="204"/>
      </rPr>
      <t xml:space="preserve"> не разрешены к расходованию </t>
    </r>
    <r>
      <rPr>
        <sz val="11"/>
        <color theme="1"/>
        <rFont val="Times New Roman"/>
        <family val="1"/>
        <charset val="204"/>
      </rPr>
      <t xml:space="preserve">(КВР 244 КОСГУ 300) средства в сумме 72 300 руб.                                                                                                                                                                                Контракт на поставку ГСМ на стадии заключения (51 004,00 руб.)                                                                            Размещение аукциона на июль по печатной продукции (35 767,00 руб).                                                                 Размещение аукциона на июль по поставку лабораторного шкафа вытяжного (на 70 000,00 руб.).                                                                                                                               Размещение аукциона на июль по поставке лекарственных средств.                                                                                                </t>
    </r>
  </si>
  <si>
    <r>
      <t xml:space="preserve">Критерий финансово-экономической эффективности реализации государственного задания в отчетном периоде 0,8 &lt; </t>
    </r>
    <r>
      <rPr>
        <b/>
        <sz val="11"/>
        <color theme="1"/>
        <rFont val="Times New Roman"/>
        <family val="1"/>
        <charset val="204"/>
      </rPr>
      <t xml:space="preserve">1,04 </t>
    </r>
    <r>
      <rPr>
        <sz val="11"/>
        <color theme="1"/>
        <rFont val="Times New Roman"/>
        <family val="1"/>
        <charset val="204"/>
      </rPr>
      <t xml:space="preserve">&lt;1,72.  </t>
    </r>
    <r>
      <rPr>
        <u/>
        <sz val="11"/>
        <color theme="1"/>
        <rFont val="Times New Roman"/>
        <family val="1"/>
        <charset val="204"/>
      </rPr>
      <t>Государственное задание в отчетном периоде выполнено эффективно.</t>
    </r>
  </si>
  <si>
    <t>Врач находился на листе временной нетрудоспособности,  в отпуске, уволился.   Работа специалиста по совместительству.</t>
  </si>
  <si>
    <t>Активная работа со страховыми медицинскими организациями и специалистами межтерриториальных фондов.</t>
  </si>
  <si>
    <t xml:space="preserve">Активная работа с контингетном подлежащим обследованию специалиста. </t>
  </si>
  <si>
    <t>Работает врач внешний солвместитель.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</si>
</sst>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0.0"/>
  </numFmts>
  <fonts count="25" x14ac:knownFonts="1">
    <font>
      <sz val="11"/>
      <color theme="1"/>
      <name val="Calibri"/>
      <family val="2"/>
      <charset val="204"/>
      <scheme val="minor"/>
    </font>
    <font>
      <sz val="12"/>
      <color theme="1"/>
      <name val="Times New Roman"/>
      <family val="1"/>
      <charset val="204"/>
    </font>
    <font>
      <sz val="10"/>
      <color theme="1"/>
      <name val="Courier New"/>
      <family val="3"/>
      <charset val="204"/>
    </font>
    <font>
      <sz val="12"/>
      <color rgb="FF0000FF"/>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b/>
      <sz val="12"/>
      <color rgb="FF0000FF"/>
      <name val="Times New Roman"/>
      <family val="1"/>
      <charset val="204"/>
    </font>
    <font>
      <sz val="11"/>
      <color rgb="FF0000FF"/>
      <name val="Calibri"/>
      <family val="2"/>
      <charset val="204"/>
      <scheme val="minor"/>
    </font>
    <font>
      <sz val="11"/>
      <color rgb="FF0000FF"/>
      <name val="Times New Roman"/>
      <family val="1"/>
      <charset val="204"/>
    </font>
    <font>
      <sz val="12"/>
      <name val="Times New Roman"/>
      <family val="1"/>
      <charset val="204"/>
    </font>
    <font>
      <b/>
      <sz val="12"/>
      <name val="Times New Roman"/>
      <family val="1"/>
      <charset val="204"/>
    </font>
    <font>
      <sz val="10"/>
      <color theme="1"/>
      <name val="Times New Roman"/>
      <family val="1"/>
      <charset val="204"/>
    </font>
    <font>
      <i/>
      <sz val="10"/>
      <color rgb="FFFF0000"/>
      <name val="Times New Roman"/>
      <family val="1"/>
      <charset val="204"/>
    </font>
    <font>
      <sz val="10"/>
      <color rgb="FF0000FF"/>
      <name val="Times New Roman"/>
      <family val="1"/>
      <charset val="204"/>
    </font>
    <font>
      <sz val="11"/>
      <name val="Times New Roman"/>
      <family val="1"/>
      <charset val="204"/>
    </font>
    <font>
      <u/>
      <sz val="11"/>
      <color theme="1"/>
      <name val="Times New Roman"/>
      <family val="1"/>
      <charset val="204"/>
    </font>
    <font>
      <b/>
      <sz val="11"/>
      <color theme="1"/>
      <name val="Calibri"/>
      <family val="2"/>
      <charset val="204"/>
      <scheme val="minor"/>
    </font>
    <font>
      <b/>
      <sz val="14"/>
      <color theme="1"/>
      <name val="Times New Roman"/>
      <family val="1"/>
      <charset val="204"/>
    </font>
    <font>
      <b/>
      <sz val="13"/>
      <color theme="1"/>
      <name val="Times New Roman"/>
      <family val="1"/>
      <charset val="204"/>
    </font>
    <font>
      <sz val="13"/>
      <color rgb="FF0000FF"/>
      <name val="Times New Roman"/>
      <family val="1"/>
      <charset val="204"/>
    </font>
    <font>
      <sz val="11"/>
      <name val="Calibri"/>
      <family val="2"/>
      <charset val="204"/>
      <scheme val="minor"/>
    </font>
    <font>
      <b/>
      <sz val="11"/>
      <name val="Times New Roman"/>
      <family val="1"/>
      <charset val="204"/>
    </font>
    <font>
      <u/>
      <sz val="11"/>
      <color rgb="FFFF0000"/>
      <name val="Times New Roman"/>
      <family val="1"/>
      <charset val="204"/>
    </font>
    <font>
      <sz val="10"/>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0">
    <xf numFmtId="0" fontId="0" fillId="0" borderId="0" xfId="0"/>
    <xf numFmtId="0" fontId="2" fillId="0" borderId="0" xfId="0" applyFont="1" applyAlignment="1">
      <alignment horizontal="justify"/>
    </xf>
    <xf numFmtId="0" fontId="1" fillId="0" borderId="0" xfId="0" applyFont="1" applyAlignment="1">
      <alignment horizontal="justify"/>
    </xf>
    <xf numFmtId="49" fontId="1" fillId="0" borderId="0" xfId="0" applyNumberFormat="1" applyFont="1" applyAlignment="1">
      <alignment horizontal="justify"/>
    </xf>
    <xf numFmtId="49" fontId="0" fillId="0" borderId="0" xfId="0" applyNumberFormat="1"/>
    <xf numFmtId="0" fontId="1" fillId="0" borderId="2" xfId="0" applyFont="1" applyBorder="1" applyAlignment="1">
      <alignment horizontal="center" vertical="top"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0" fontId="0" fillId="0" borderId="0" xfId="0" applyAlignment="1">
      <alignment vertical="center"/>
    </xf>
    <xf numFmtId="0" fontId="1" fillId="0" borderId="2" xfId="0" applyFont="1" applyBorder="1" applyAlignment="1">
      <alignment vertical="top" wrapText="1"/>
    </xf>
    <xf numFmtId="0" fontId="6"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6" fillId="0" borderId="0" xfId="0" applyFont="1" applyAlignment="1">
      <alignment horizontal="center" vertical="center"/>
    </xf>
    <xf numFmtId="0" fontId="1" fillId="0" borderId="2" xfId="0" applyFont="1" applyBorder="1" applyAlignment="1">
      <alignment horizontal="left" vertical="center" wrapText="1"/>
    </xf>
    <xf numFmtId="0" fontId="3"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4" fillId="0" borderId="2" xfId="0" applyFont="1" applyBorder="1" applyAlignment="1">
      <alignment horizontal="center" vertical="center" wrapText="1"/>
    </xf>
    <xf numFmtId="4" fontId="0" fillId="0" borderId="0" xfId="0" applyNumberFormat="1"/>
    <xf numFmtId="4" fontId="10"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vertical="center" wrapText="1"/>
    </xf>
    <xf numFmtId="4" fontId="0" fillId="0" borderId="0" xfId="0" applyNumberFormat="1" applyAlignment="1">
      <alignment vertical="center"/>
    </xf>
    <xf numFmtId="0" fontId="0" fillId="0" borderId="0" xfId="0" applyAlignment="1">
      <alignment horizontal="left" vertical="center"/>
    </xf>
    <xf numFmtId="0" fontId="0" fillId="0" borderId="0" xfId="0" applyAlignment="1">
      <alignment vertical="top"/>
    </xf>
    <xf numFmtId="0" fontId="0" fillId="0" borderId="0" xfId="0" applyBorder="1"/>
    <xf numFmtId="0" fontId="1" fillId="0" borderId="0" xfId="0" applyFont="1" applyBorder="1" applyAlignment="1">
      <alignment horizontal="center" vertical="top" wrapText="1"/>
    </xf>
    <xf numFmtId="0" fontId="4" fillId="0" borderId="2" xfId="0" applyFont="1" applyBorder="1" applyAlignment="1">
      <alignment horizontal="center" vertical="top"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4" fontId="4" fillId="0" borderId="2" xfId="0" applyNumberFormat="1" applyFont="1" applyBorder="1" applyAlignment="1">
      <alignment horizontal="center" vertical="center" wrapText="1"/>
    </xf>
    <xf numFmtId="0" fontId="0" fillId="0" borderId="0" xfId="0" applyAlignment="1">
      <alignment wrapText="1"/>
    </xf>
    <xf numFmtId="0" fontId="5" fillId="3" borderId="2" xfId="0" applyFont="1" applyFill="1" applyBorder="1" applyAlignment="1">
      <alignment horizontal="center" vertical="center" wrapText="1"/>
    </xf>
    <xf numFmtId="0" fontId="15" fillId="0" borderId="2" xfId="0" applyFont="1" applyBorder="1" applyAlignment="1">
      <alignment horizontal="left" vertical="center" wrapText="1"/>
    </xf>
    <xf numFmtId="0" fontId="0" fillId="0" borderId="0" xfId="0" applyFont="1"/>
    <xf numFmtId="4" fontId="3" fillId="0" borderId="2" xfId="0" applyNumberFormat="1" applyFont="1" applyBorder="1" applyAlignment="1">
      <alignment horizontal="center" vertical="center" wrapText="1"/>
    </xf>
    <xf numFmtId="0" fontId="10" fillId="0" borderId="2" xfId="0" applyFont="1" applyBorder="1" applyAlignment="1">
      <alignment vertical="top" wrapText="1"/>
    </xf>
    <xf numFmtId="0" fontId="11" fillId="0" borderId="2" xfId="0" applyFont="1" applyBorder="1" applyAlignment="1">
      <alignment horizontal="left" vertical="center" wrapText="1"/>
    </xf>
    <xf numFmtId="2" fontId="1"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167" fontId="1" fillId="0" borderId="2" xfId="0" applyNumberFormat="1" applyFont="1" applyBorder="1" applyAlignment="1">
      <alignment horizontal="center" vertical="center" wrapText="1"/>
    </xf>
    <xf numFmtId="0" fontId="8" fillId="0" borderId="0" xfId="0" applyFont="1"/>
    <xf numFmtId="0" fontId="9" fillId="2" borderId="2" xfId="0" applyFont="1" applyFill="1" applyBorder="1" applyAlignment="1">
      <alignment horizontal="center" vertical="center"/>
    </xf>
    <xf numFmtId="0" fontId="3" fillId="3" borderId="2" xfId="0" applyFont="1" applyFill="1" applyBorder="1" applyAlignment="1">
      <alignment horizontal="center" vertical="center"/>
    </xf>
    <xf numFmtId="49" fontId="5" fillId="5" borderId="2" xfId="0" applyNumberFormat="1" applyFont="1" applyFill="1" applyBorder="1" applyAlignment="1">
      <alignment horizontal="center" vertical="top" wrapText="1"/>
    </xf>
    <xf numFmtId="0" fontId="5" fillId="5" borderId="2" xfId="0" applyFont="1" applyFill="1" applyBorder="1" applyAlignment="1">
      <alignment horizontal="center" vertical="top" wrapText="1"/>
    </xf>
    <xf numFmtId="0" fontId="9" fillId="5" borderId="2" xfId="0" applyFont="1" applyFill="1" applyBorder="1" applyAlignment="1">
      <alignment horizontal="center" vertical="top" wrapText="1"/>
    </xf>
    <xf numFmtId="49" fontId="1" fillId="5" borderId="2" xfId="0" applyNumberFormat="1" applyFont="1" applyFill="1" applyBorder="1" applyAlignment="1">
      <alignment horizontal="center" vertical="top" wrapText="1"/>
    </xf>
    <xf numFmtId="0" fontId="1" fillId="5" borderId="2" xfId="0" applyFont="1" applyFill="1" applyBorder="1" applyAlignment="1">
      <alignment horizontal="center" vertical="top" wrapText="1"/>
    </xf>
    <xf numFmtId="0" fontId="1" fillId="5" borderId="2" xfId="0" applyFont="1" applyFill="1" applyBorder="1" applyAlignment="1">
      <alignment horizontal="left" vertical="top" wrapText="1"/>
    </xf>
    <xf numFmtId="0" fontId="3" fillId="5" borderId="2" xfId="0" applyFont="1" applyFill="1" applyBorder="1" applyAlignment="1">
      <alignment horizontal="center" vertical="top" wrapText="1"/>
    </xf>
    <xf numFmtId="49" fontId="3" fillId="5" borderId="2" xfId="0" applyNumberFormat="1" applyFont="1" applyFill="1" applyBorder="1" applyAlignment="1">
      <alignment horizontal="center" vertical="center" wrapText="1"/>
    </xf>
    <xf numFmtId="0" fontId="3" fillId="5" borderId="5"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4" fontId="1" fillId="5" borderId="2" xfId="0" applyNumberFormat="1" applyFont="1" applyFill="1" applyBorder="1" applyAlignment="1">
      <alignment horizontal="center" vertical="center" wrapText="1"/>
    </xf>
    <xf numFmtId="0" fontId="17" fillId="0" borderId="0" xfId="0" applyFont="1" applyAlignment="1">
      <alignment horizontal="center" vertical="center"/>
    </xf>
    <xf numFmtId="0" fontId="21" fillId="0" borderId="0" xfId="0" applyFont="1"/>
    <xf numFmtId="0" fontId="15" fillId="5" borderId="2" xfId="0" applyFont="1" applyFill="1" applyBorder="1" applyAlignment="1">
      <alignment horizontal="center" vertical="top" wrapText="1"/>
    </xf>
    <xf numFmtId="0" fontId="10" fillId="5" borderId="2" xfId="0" applyFont="1" applyFill="1" applyBorder="1" applyAlignment="1">
      <alignment horizontal="center" vertical="top" wrapText="1"/>
    </xf>
    <xf numFmtId="0" fontId="10" fillId="5" borderId="5" xfId="0" applyFont="1" applyFill="1" applyBorder="1" applyAlignment="1">
      <alignment horizontal="left" vertical="center" wrapText="1"/>
    </xf>
    <xf numFmtId="0" fontId="10" fillId="0" borderId="2" xfId="0" applyFont="1" applyBorder="1" applyAlignment="1">
      <alignment horizontal="center" vertical="center" wrapText="1"/>
    </xf>
    <xf numFmtId="0" fontId="15" fillId="2" borderId="2" xfId="0" applyFont="1" applyFill="1" applyBorder="1" applyAlignment="1">
      <alignment horizontal="center" vertical="center"/>
    </xf>
    <xf numFmtId="0" fontId="10" fillId="3" borderId="2" xfId="0" applyFont="1" applyFill="1" applyBorder="1" applyAlignment="1">
      <alignment horizontal="center" vertical="center"/>
    </xf>
    <xf numFmtId="0" fontId="10" fillId="0" borderId="2" xfId="0" applyFont="1" applyBorder="1" applyAlignment="1">
      <alignment horizontal="center" vertical="top" wrapText="1"/>
    </xf>
    <xf numFmtId="4" fontId="22" fillId="0" borderId="2" xfId="0" applyNumberFormat="1" applyFont="1" applyBorder="1" applyAlignment="1">
      <alignment horizontal="center" vertical="center"/>
    </xf>
    <xf numFmtId="0" fontId="22" fillId="0" borderId="2" xfId="0" applyFont="1" applyBorder="1" applyAlignment="1">
      <alignment horizontal="center" vertical="center"/>
    </xf>
    <xf numFmtId="0" fontId="15" fillId="0" borderId="2" xfId="0" applyFont="1" applyBorder="1" applyAlignment="1">
      <alignment horizontal="left" vertical="top" wrapText="1"/>
    </xf>
    <xf numFmtId="0" fontId="12" fillId="0" borderId="2" xfId="0" applyFont="1" applyBorder="1" applyAlignment="1">
      <alignment horizontal="center" vertical="top" wrapText="1"/>
    </xf>
    <xf numFmtId="0" fontId="24" fillId="0" borderId="0" xfId="0" applyFont="1"/>
    <xf numFmtId="4" fontId="24" fillId="0" borderId="0" xfId="0" applyNumberFormat="1" applyFont="1"/>
    <xf numFmtId="0" fontId="1" fillId="4" borderId="2" xfId="0" applyFont="1" applyFill="1" applyBorder="1" applyAlignment="1">
      <alignment horizontal="center" vertical="center" wrapText="1"/>
    </xf>
    <xf numFmtId="0" fontId="4" fillId="4" borderId="2" xfId="0" applyFont="1" applyFill="1" applyBorder="1" applyAlignment="1">
      <alignment vertical="center" wrapText="1"/>
    </xf>
    <xf numFmtId="0" fontId="4"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167" fontId="4" fillId="4" borderId="2" xfId="0" applyNumberFormat="1" applyFont="1" applyFill="1" applyBorder="1" applyAlignment="1">
      <alignment horizontal="center" vertical="center" wrapText="1"/>
    </xf>
    <xf numFmtId="4" fontId="11" fillId="4" borderId="2" xfId="0" applyNumberFormat="1" applyFont="1" applyFill="1" applyBorder="1" applyAlignment="1">
      <alignment horizontal="center" vertical="center" wrapText="1"/>
    </xf>
    <xf numFmtId="0" fontId="1" fillId="4" borderId="2" xfId="0" applyFont="1" applyFill="1" applyBorder="1" applyAlignment="1">
      <alignment horizontal="center" vertical="top" wrapText="1"/>
    </xf>
    <xf numFmtId="0" fontId="10" fillId="4" borderId="2" xfId="0" applyFont="1" applyFill="1" applyBorder="1" applyAlignment="1">
      <alignment horizontal="center" vertical="top" wrapText="1"/>
    </xf>
    <xf numFmtId="0" fontId="4" fillId="4" borderId="2" xfId="0" applyFont="1" applyFill="1" applyBorder="1" applyAlignment="1">
      <alignment horizontal="left" vertical="top" wrapText="1"/>
    </xf>
    <xf numFmtId="0" fontId="1" fillId="4" borderId="3" xfId="0" applyFont="1" applyFill="1" applyBorder="1" applyAlignment="1">
      <alignment horizontal="center" vertical="top" wrapText="1"/>
    </xf>
    <xf numFmtId="0" fontId="15" fillId="4" borderId="2" xfId="0" applyFont="1" applyFill="1" applyBorder="1" applyAlignment="1">
      <alignment horizontal="left" vertical="center" wrapText="1"/>
    </xf>
    <xf numFmtId="49" fontId="3" fillId="0" borderId="5" xfId="0" applyNumberFormat="1" applyFont="1" applyBorder="1" applyAlignment="1">
      <alignment horizontal="center" vertical="center" wrapText="1"/>
    </xf>
    <xf numFmtId="0" fontId="19" fillId="0" borderId="2" xfId="0" applyFont="1" applyBorder="1" applyAlignment="1">
      <alignment vertical="center" wrapText="1"/>
    </xf>
    <xf numFmtId="49" fontId="1" fillId="0" borderId="2" xfId="0" applyNumberFormat="1" applyFont="1" applyBorder="1" applyAlignment="1">
      <alignment horizontal="center" vertical="top" wrapText="1"/>
    </xf>
    <xf numFmtId="49" fontId="1" fillId="4" borderId="2" xfId="0" applyNumberFormat="1" applyFont="1" applyFill="1" applyBorder="1" applyAlignment="1">
      <alignment horizontal="center" vertical="top" wrapText="1"/>
    </xf>
    <xf numFmtId="49" fontId="6" fillId="0" borderId="2" xfId="0" applyNumberFormat="1" applyFont="1" applyBorder="1" applyAlignment="1">
      <alignment horizontal="center" vertical="center"/>
    </xf>
    <xf numFmtId="49" fontId="0" fillId="0" borderId="0" xfId="0" applyNumberFormat="1" applyAlignment="1"/>
    <xf numFmtId="49" fontId="5" fillId="5" borderId="2" xfId="0" applyNumberFormat="1" applyFont="1" applyFill="1" applyBorder="1" applyAlignment="1">
      <alignment vertical="top" wrapText="1"/>
    </xf>
    <xf numFmtId="49" fontId="1" fillId="5" borderId="2" xfId="0" applyNumberFormat="1" applyFont="1" applyFill="1" applyBorder="1" applyAlignment="1">
      <alignment vertical="top" wrapText="1"/>
    </xf>
    <xf numFmtId="49" fontId="20" fillId="5" borderId="5" xfId="0" applyNumberFormat="1" applyFont="1" applyFill="1" applyBorder="1" applyAlignment="1">
      <alignment vertical="center" wrapText="1"/>
    </xf>
    <xf numFmtId="49" fontId="20" fillId="0" borderId="4" xfId="0" applyNumberFormat="1" applyFont="1" applyBorder="1" applyAlignment="1">
      <alignment vertical="center" wrapText="1"/>
    </xf>
    <xf numFmtId="49" fontId="1" fillId="0" borderId="2" xfId="0" applyNumberFormat="1" applyFont="1" applyBorder="1" applyAlignment="1">
      <alignment vertical="center" wrapText="1"/>
    </xf>
    <xf numFmtId="49" fontId="1" fillId="4" borderId="2" xfId="0" applyNumberFormat="1" applyFont="1" applyFill="1" applyBorder="1" applyAlignment="1">
      <alignment vertical="center" wrapText="1"/>
    </xf>
    <xf numFmtId="0" fontId="10" fillId="0" borderId="2" xfId="0" applyFont="1" applyBorder="1" applyAlignment="1">
      <alignment horizontal="left" vertical="center" wrapText="1"/>
    </xf>
    <xf numFmtId="0" fontId="7" fillId="0" borderId="3" xfId="0" applyFont="1" applyBorder="1" applyAlignment="1">
      <alignment vertical="center" wrapText="1"/>
    </xf>
    <xf numFmtId="4" fontId="4" fillId="4" borderId="2"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0" fontId="15" fillId="0" borderId="2" xfId="0" applyFont="1" applyBorder="1" applyAlignment="1">
      <alignment horizontal="left" vertical="center" wrapText="1"/>
    </xf>
    <xf numFmtId="0" fontId="5" fillId="0" borderId="2" xfId="0" applyFont="1" applyBorder="1" applyAlignment="1">
      <alignment vertical="center" wrapText="1"/>
    </xf>
    <xf numFmtId="0" fontId="1" fillId="0" borderId="0" xfId="0" applyFont="1" applyAlignment="1">
      <alignment horizontal="center"/>
    </xf>
    <xf numFmtId="0" fontId="4" fillId="0" borderId="0" xfId="0" applyFont="1" applyAlignment="1">
      <alignment horizontal="center"/>
    </xf>
    <xf numFmtId="0" fontId="2" fillId="0" borderId="0" xfId="0" applyFont="1" applyAlignment="1"/>
    <xf numFmtId="0" fontId="2" fillId="0" borderId="1" xfId="0" applyFont="1" applyBorder="1" applyAlignment="1">
      <alignment horizontal="center"/>
    </xf>
    <xf numFmtId="0" fontId="2" fillId="0" borderId="7" xfId="0" applyFont="1" applyBorder="1" applyAlignment="1">
      <alignment horizontal="center"/>
    </xf>
    <xf numFmtId="0" fontId="2" fillId="0" borderId="0" xfId="0" applyFont="1" applyAlignment="1">
      <alignment horizontal="center"/>
    </xf>
    <xf numFmtId="0" fontId="18" fillId="0" borderId="0" xfId="0" applyFont="1" applyAlignment="1">
      <alignment horizontal="center"/>
    </xf>
    <xf numFmtId="0" fontId="2" fillId="0" borderId="0" xfId="0" applyFont="1" applyBorder="1" applyAlignment="1">
      <alignment horizontal="left"/>
    </xf>
    <xf numFmtId="0" fontId="2" fillId="0" borderId="0" xfId="0" applyFont="1" applyAlignment="1">
      <alignment horizontal="left"/>
    </xf>
    <xf numFmtId="0" fontId="18" fillId="0" borderId="0" xfId="0" applyFont="1" applyAlignment="1">
      <alignment horizontal="center" vertical="center"/>
    </xf>
    <xf numFmtId="0" fontId="1" fillId="0" borderId="7" xfId="0" applyFont="1" applyBorder="1" applyAlignment="1">
      <alignment horizontal="center"/>
    </xf>
    <xf numFmtId="0" fontId="2" fillId="0" borderId="1" xfId="0" applyFont="1" applyBorder="1" applyAlignment="1"/>
    <xf numFmtId="0" fontId="2" fillId="0" borderId="1" xfId="0" applyFont="1" applyBorder="1" applyAlignment="1">
      <alignment horizontal="center" wrapText="1"/>
    </xf>
    <xf numFmtId="0" fontId="1" fillId="0" borderId="0" xfId="0" applyFont="1" applyAlignment="1">
      <alignment horizontal="right"/>
    </xf>
    <xf numFmtId="0" fontId="2" fillId="0" borderId="0" xfId="0" applyFont="1" applyBorder="1" applyAlignment="1">
      <alignment horizontal="center"/>
    </xf>
    <xf numFmtId="0" fontId="2"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0" xfId="0" applyFont="1" applyAlignment="1">
      <alignment horizontal="left" vertical="top"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49" fontId="20" fillId="0" borderId="2" xfId="0" applyNumberFormat="1" applyFont="1" applyBorder="1" applyAlignment="1">
      <alignment vertical="center" wrapText="1"/>
    </xf>
    <xf numFmtId="0" fontId="7" fillId="0" borderId="2" xfId="0" applyFont="1" applyBorder="1" applyAlignment="1">
      <alignment horizontal="left" vertical="center" wrapText="1"/>
    </xf>
    <xf numFmtId="49" fontId="20" fillId="0" borderId="4" xfId="0" applyNumberFormat="1" applyFont="1" applyBorder="1" applyAlignment="1">
      <alignment vertical="center" wrapText="1"/>
    </xf>
    <xf numFmtId="49" fontId="20" fillId="0" borderId="5" xfId="0" applyNumberFormat="1" applyFont="1" applyBorder="1" applyAlignment="1">
      <alignmen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49" fontId="20" fillId="0" borderId="3" xfId="0" applyNumberFormat="1" applyFont="1" applyBorder="1" applyAlignment="1">
      <alignment vertical="center" wrapText="1"/>
    </xf>
    <xf numFmtId="0" fontId="10" fillId="0" borderId="3" xfId="0" applyFont="1" applyBorder="1" applyAlignment="1">
      <alignment horizontal="left" vertical="center" wrapText="1"/>
    </xf>
    <xf numFmtId="0" fontId="15" fillId="0" borderId="3"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2" xfId="0" applyFont="1" applyBorder="1" applyAlignment="1">
      <alignment horizontal="left" vertical="center" wrapText="1"/>
    </xf>
    <xf numFmtId="49" fontId="19" fillId="4" borderId="6" xfId="0" applyNumberFormat="1" applyFont="1" applyFill="1" applyBorder="1" applyAlignment="1">
      <alignment horizontal="center" vertical="center" wrapText="1"/>
    </xf>
    <xf numFmtId="49" fontId="19" fillId="4" borderId="8" xfId="0" applyNumberFormat="1" applyFont="1" applyFill="1" applyBorder="1" applyAlignment="1">
      <alignment horizontal="center" vertical="center" wrapText="1"/>
    </xf>
    <xf numFmtId="49" fontId="19" fillId="4" borderId="9"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10</xdr:col>
      <xdr:colOff>83560</xdr:colOff>
      <xdr:row>4</xdr:row>
      <xdr:rowOff>1485900</xdr:rowOff>
    </xdr:from>
    <xdr:to>
      <xdr:col>10</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opLeftCell="A10" workbookViewId="0">
      <selection activeCell="A39" sqref="A39"/>
    </sheetView>
  </sheetViews>
  <sheetFormatPr defaultRowHeight="15" x14ac:dyDescent="0.25"/>
  <cols>
    <col min="1" max="1" width="7.7109375" customWidth="1"/>
    <col min="8" max="8" width="14.7109375" customWidth="1"/>
    <col min="9" max="9" width="38.5703125" customWidth="1"/>
  </cols>
  <sheetData>
    <row r="1" spans="7:13" ht="15" customHeight="1" x14ac:dyDescent="0.25">
      <c r="I1" s="123" t="s">
        <v>0</v>
      </c>
      <c r="J1" s="123"/>
      <c r="K1" s="123"/>
      <c r="L1" s="123"/>
      <c r="M1" s="123"/>
    </row>
    <row r="2" spans="7:13" ht="15" customHeight="1" x14ac:dyDescent="0.25">
      <c r="I2" s="123" t="s">
        <v>1</v>
      </c>
      <c r="J2" s="123"/>
      <c r="K2" s="123"/>
      <c r="L2" s="123"/>
      <c r="M2" s="123"/>
    </row>
    <row r="3" spans="7:13" ht="15" customHeight="1" x14ac:dyDescent="0.25">
      <c r="I3" s="123" t="s">
        <v>2</v>
      </c>
      <c r="J3" s="123"/>
      <c r="K3" s="123"/>
      <c r="L3" s="123"/>
      <c r="M3" s="123"/>
    </row>
    <row r="4" spans="7:13" ht="15" customHeight="1" x14ac:dyDescent="0.25">
      <c r="I4" s="123" t="s">
        <v>3</v>
      </c>
      <c r="J4" s="123"/>
      <c r="K4" s="123"/>
      <c r="L4" s="123"/>
      <c r="M4" s="123"/>
    </row>
    <row r="5" spans="7:13" ht="15" customHeight="1" x14ac:dyDescent="0.25">
      <c r="I5" s="123" t="s">
        <v>4</v>
      </c>
      <c r="J5" s="123"/>
      <c r="K5" s="123"/>
      <c r="L5" s="123"/>
      <c r="M5" s="123"/>
    </row>
    <row r="6" spans="7:13" ht="15" customHeight="1" x14ac:dyDescent="0.25">
      <c r="I6" s="123" t="s">
        <v>5</v>
      </c>
      <c r="J6" s="123"/>
      <c r="K6" s="123"/>
      <c r="L6" s="123"/>
      <c r="M6" s="123"/>
    </row>
    <row r="7" spans="7:13" ht="15" customHeight="1" x14ac:dyDescent="0.25">
      <c r="I7" s="123" t="s">
        <v>6</v>
      </c>
      <c r="J7" s="123"/>
      <c r="K7" s="123"/>
      <c r="L7" s="123"/>
      <c r="M7" s="123"/>
    </row>
    <row r="9" spans="7:13" x14ac:dyDescent="0.25">
      <c r="G9" s="115" t="s">
        <v>7</v>
      </c>
      <c r="H9" s="115"/>
      <c r="I9" s="115"/>
    </row>
    <row r="10" spans="7:13" x14ac:dyDescent="0.25">
      <c r="H10" s="1"/>
    </row>
    <row r="11" spans="7:13" ht="26.25" customHeight="1" x14ac:dyDescent="0.25">
      <c r="G11" s="124" t="s">
        <v>97</v>
      </c>
      <c r="H11" s="124"/>
      <c r="I11" s="124"/>
    </row>
    <row r="12" spans="7:13" ht="19.5" customHeight="1" x14ac:dyDescent="0.25">
      <c r="G12" s="125" t="s">
        <v>10</v>
      </c>
      <c r="H12" s="125"/>
      <c r="I12" s="125"/>
    </row>
    <row r="13" spans="7:13" x14ac:dyDescent="0.25">
      <c r="G13" s="115" t="s">
        <v>11</v>
      </c>
      <c r="H13" s="115"/>
      <c r="I13" s="115"/>
    </row>
    <row r="14" spans="7:13" x14ac:dyDescent="0.25">
      <c r="G14" s="115" t="s">
        <v>12</v>
      </c>
      <c r="H14" s="115"/>
      <c r="I14" s="115"/>
    </row>
    <row r="15" spans="7:13" ht="36.75" customHeight="1" x14ac:dyDescent="0.25">
      <c r="G15" s="121" t="s">
        <v>98</v>
      </c>
      <c r="H15" s="121"/>
      <c r="I15" s="121"/>
    </row>
    <row r="16" spans="7:13" x14ac:dyDescent="0.25">
      <c r="G16" s="114" t="s">
        <v>13</v>
      </c>
      <c r="H16" s="114"/>
      <c r="I16" s="114"/>
    </row>
    <row r="17" spans="7:10" x14ac:dyDescent="0.25">
      <c r="H17" s="1"/>
    </row>
    <row r="18" spans="7:10" x14ac:dyDescent="0.25">
      <c r="G18" s="115" t="s">
        <v>161</v>
      </c>
      <c r="H18" s="115"/>
      <c r="I18" s="115"/>
    </row>
    <row r="19" spans="7:10" ht="29.25" customHeight="1" x14ac:dyDescent="0.25">
      <c r="H19" s="1"/>
    </row>
    <row r="20" spans="7:10" x14ac:dyDescent="0.25">
      <c r="G20" s="115" t="s">
        <v>14</v>
      </c>
      <c r="H20" s="115"/>
      <c r="I20" s="115"/>
    </row>
    <row r="21" spans="7:10" x14ac:dyDescent="0.25">
      <c r="H21" s="1"/>
    </row>
    <row r="22" spans="7:10" ht="26.25" customHeight="1" x14ac:dyDescent="0.25">
      <c r="G22" s="122" t="s">
        <v>155</v>
      </c>
      <c r="H22" s="122"/>
      <c r="I22" s="122"/>
    </row>
    <row r="23" spans="7:10" x14ac:dyDescent="0.25">
      <c r="G23" s="117" t="s">
        <v>156</v>
      </c>
      <c r="H23" s="117"/>
      <c r="I23" s="117"/>
      <c r="J23" s="117"/>
    </row>
    <row r="24" spans="7:10" x14ac:dyDescent="0.25">
      <c r="G24" s="118" t="s">
        <v>157</v>
      </c>
      <c r="H24" s="118"/>
      <c r="I24" s="118"/>
      <c r="J24" s="118"/>
    </row>
    <row r="25" spans="7:10" x14ac:dyDescent="0.25">
      <c r="G25" s="118" t="s">
        <v>158</v>
      </c>
      <c r="H25" s="118"/>
      <c r="I25" s="118"/>
      <c r="J25" s="118"/>
    </row>
    <row r="26" spans="7:10" x14ac:dyDescent="0.25">
      <c r="G26" s="112" t="s">
        <v>12</v>
      </c>
      <c r="H26" s="112"/>
      <c r="I26" s="112"/>
    </row>
    <row r="27" spans="7:10" ht="33" customHeight="1" x14ac:dyDescent="0.25">
      <c r="G27" s="113" t="s">
        <v>154</v>
      </c>
      <c r="H27" s="113"/>
      <c r="I27" s="113"/>
    </row>
    <row r="28" spans="7:10" x14ac:dyDescent="0.25">
      <c r="G28" s="114" t="s">
        <v>13</v>
      </c>
      <c r="H28" s="114"/>
      <c r="I28" s="114"/>
    </row>
    <row r="29" spans="7:10" x14ac:dyDescent="0.25">
      <c r="H29" s="1"/>
    </row>
    <row r="30" spans="7:10" x14ac:dyDescent="0.25">
      <c r="G30" s="115"/>
      <c r="H30" s="115"/>
      <c r="I30" s="115"/>
    </row>
    <row r="33" spans="1:13" ht="19.5" customHeight="1" x14ac:dyDescent="0.3">
      <c r="A33" s="116" t="s">
        <v>8</v>
      </c>
      <c r="B33" s="116"/>
      <c r="C33" s="116"/>
      <c r="D33" s="116"/>
      <c r="E33" s="116"/>
      <c r="F33" s="116"/>
      <c r="G33" s="116"/>
      <c r="H33" s="116"/>
      <c r="I33" s="116"/>
      <c r="J33" s="116"/>
      <c r="K33" s="116"/>
      <c r="L33" s="116"/>
      <c r="M33" s="116"/>
    </row>
    <row r="34" spans="1:13" ht="25.5" customHeight="1" x14ac:dyDescent="0.25">
      <c r="A34" s="119" t="s">
        <v>50</v>
      </c>
      <c r="B34" s="119"/>
      <c r="C34" s="119"/>
      <c r="D34" s="119"/>
      <c r="E34" s="119"/>
      <c r="F34" s="119"/>
      <c r="G34" s="119"/>
      <c r="H34" s="119"/>
      <c r="I34" s="119"/>
      <c r="J34" s="119"/>
      <c r="K34" s="119"/>
      <c r="L34" s="119"/>
      <c r="M34" s="119"/>
    </row>
    <row r="35" spans="1:13" ht="15.75" x14ac:dyDescent="0.25">
      <c r="A35" s="120" t="s">
        <v>9</v>
      </c>
      <c r="B35" s="120"/>
      <c r="C35" s="120"/>
      <c r="D35" s="120"/>
      <c r="E35" s="120"/>
      <c r="F35" s="120"/>
      <c r="G35" s="120"/>
      <c r="H35" s="120"/>
      <c r="I35" s="120"/>
      <c r="J35" s="120"/>
      <c r="K35" s="120"/>
      <c r="L35" s="120"/>
      <c r="M35" s="120"/>
    </row>
    <row r="36" spans="1:13" ht="15.75" x14ac:dyDescent="0.25">
      <c r="A36" s="2"/>
    </row>
    <row r="37" spans="1:13" ht="15.75" x14ac:dyDescent="0.25">
      <c r="A37" s="110" t="s">
        <v>210</v>
      </c>
      <c r="B37" s="110"/>
      <c r="C37" s="110"/>
      <c r="D37" s="110"/>
      <c r="E37" s="110"/>
      <c r="F37" s="110"/>
      <c r="G37" s="110"/>
      <c r="H37" s="110"/>
      <c r="I37" s="110"/>
      <c r="J37" s="110"/>
      <c r="K37" s="110"/>
      <c r="L37" s="110"/>
      <c r="M37" s="110"/>
    </row>
    <row r="38" spans="1:13" ht="15.75" x14ac:dyDescent="0.25">
      <c r="A38" s="111" t="s">
        <v>211</v>
      </c>
      <c r="B38" s="111"/>
      <c r="C38" s="111"/>
      <c r="D38" s="111"/>
      <c r="E38" s="111"/>
      <c r="F38" s="111"/>
      <c r="G38" s="111"/>
      <c r="H38" s="111"/>
      <c r="I38" s="111"/>
      <c r="J38" s="111"/>
      <c r="K38" s="111"/>
      <c r="L38" s="111"/>
      <c r="M38" s="111"/>
    </row>
  </sheetData>
  <mergeCells count="29">
    <mergeCell ref="G14:I14"/>
    <mergeCell ref="I1:M1"/>
    <mergeCell ref="I2:M2"/>
    <mergeCell ref="I3:M3"/>
    <mergeCell ref="I4:M4"/>
    <mergeCell ref="I5:M5"/>
    <mergeCell ref="I6:M6"/>
    <mergeCell ref="I7:M7"/>
    <mergeCell ref="G9:I9"/>
    <mergeCell ref="G11:I11"/>
    <mergeCell ref="G12:I12"/>
    <mergeCell ref="G13:I13"/>
    <mergeCell ref="G15:I15"/>
    <mergeCell ref="G16:I16"/>
    <mergeCell ref="G18:I18"/>
    <mergeCell ref="G20:I20"/>
    <mergeCell ref="G22:I22"/>
    <mergeCell ref="G23:J23"/>
    <mergeCell ref="G24:J24"/>
    <mergeCell ref="G25:J25"/>
    <mergeCell ref="A34:M34"/>
    <mergeCell ref="A35:M35"/>
    <mergeCell ref="A37:M37"/>
    <mergeCell ref="A38:M38"/>
    <mergeCell ref="G26:I26"/>
    <mergeCell ref="G27:I27"/>
    <mergeCell ref="G28:I28"/>
    <mergeCell ref="G30:I30"/>
    <mergeCell ref="A33:M33"/>
  </mergeCell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6"/>
  <sheetViews>
    <sheetView tabSelected="1" topLeftCell="A7" zoomScale="70" zoomScaleNormal="70" workbookViewId="0">
      <selection activeCell="G14" sqref="G14"/>
    </sheetView>
  </sheetViews>
  <sheetFormatPr defaultRowHeight="15" x14ac:dyDescent="0.25"/>
  <cols>
    <col min="1" max="1" width="51.85546875" customWidth="1"/>
    <col min="2" max="2" width="20.140625" customWidth="1"/>
    <col min="3" max="3" width="19.28515625" customWidth="1"/>
    <col min="4" max="4" width="19.85546875" customWidth="1"/>
    <col min="5" max="5" width="27.42578125" customWidth="1"/>
    <col min="6" max="6" width="16.85546875" customWidth="1"/>
    <col min="7" max="7" width="92.28515625" customWidth="1"/>
    <col min="8" max="8" width="1.140625" customWidth="1"/>
    <col min="9" max="9" width="13.28515625" hidden="1" customWidth="1"/>
    <col min="10" max="10" width="12" bestFit="1" customWidth="1"/>
  </cols>
  <sheetData>
    <row r="2" spans="1:10" ht="15.75" x14ac:dyDescent="0.25">
      <c r="A2" s="2"/>
    </row>
    <row r="3" spans="1:10" ht="18.75" x14ac:dyDescent="0.3">
      <c r="A3" s="116" t="s">
        <v>15</v>
      </c>
      <c r="B3" s="116"/>
      <c r="C3" s="116"/>
      <c r="D3" s="116"/>
      <c r="E3" s="116"/>
      <c r="F3" s="116"/>
      <c r="G3" s="116"/>
    </row>
    <row r="4" spans="1:10" ht="18.75" x14ac:dyDescent="0.3">
      <c r="A4" s="116" t="s">
        <v>16</v>
      </c>
      <c r="B4" s="116"/>
      <c r="C4" s="116"/>
      <c r="D4" s="116"/>
      <c r="E4" s="116"/>
      <c r="F4" s="116"/>
      <c r="G4" s="116"/>
    </row>
    <row r="5" spans="1:10" ht="15.75" x14ac:dyDescent="0.25">
      <c r="A5" s="2"/>
    </row>
    <row r="6" spans="1:10" ht="207" customHeight="1" x14ac:dyDescent="0.25">
      <c r="A6" s="25" t="s">
        <v>22</v>
      </c>
      <c r="B6" s="25" t="s">
        <v>18</v>
      </c>
      <c r="C6" s="25" t="s">
        <v>19</v>
      </c>
      <c r="D6" s="25" t="s">
        <v>196</v>
      </c>
      <c r="E6" s="25" t="s">
        <v>20</v>
      </c>
      <c r="F6" s="25" t="s">
        <v>84</v>
      </c>
      <c r="G6" s="25" t="s">
        <v>21</v>
      </c>
    </row>
    <row r="7" spans="1:10" s="78" customFormat="1" ht="12.95" customHeight="1" x14ac:dyDescent="0.2">
      <c r="A7" s="77">
        <v>1</v>
      </c>
      <c r="B7" s="77">
        <v>2</v>
      </c>
      <c r="C7" s="77">
        <v>3</v>
      </c>
      <c r="D7" s="77">
        <v>4</v>
      </c>
      <c r="E7" s="77">
        <v>5</v>
      </c>
      <c r="F7" s="77">
        <v>6</v>
      </c>
      <c r="G7" s="77">
        <v>7</v>
      </c>
      <c r="I7" s="79"/>
    </row>
    <row r="8" spans="1:10" ht="101.25" customHeight="1" x14ac:dyDescent="0.25">
      <c r="A8" s="10" t="s">
        <v>86</v>
      </c>
      <c r="B8" s="24">
        <v>9136000</v>
      </c>
      <c r="C8" s="8">
        <v>0</v>
      </c>
      <c r="D8" s="8">
        <v>0</v>
      </c>
      <c r="E8" s="42">
        <v>4075513.9</v>
      </c>
      <c r="F8" s="7">
        <f t="shared" ref="F8" si="0">E8/(B8+C8+D8)</f>
        <v>0.44609390323992992</v>
      </c>
      <c r="G8" s="34" t="s">
        <v>212</v>
      </c>
      <c r="I8" s="28">
        <f>B8-E8</f>
        <v>5060486.0999999996</v>
      </c>
      <c r="J8" s="23"/>
    </row>
    <row r="9" spans="1:10" ht="91.5" customHeight="1" x14ac:dyDescent="0.25">
      <c r="A9" s="10" t="s">
        <v>85</v>
      </c>
      <c r="B9" s="24">
        <v>6011500</v>
      </c>
      <c r="C9" s="8">
        <v>0</v>
      </c>
      <c r="D9" s="8">
        <v>0</v>
      </c>
      <c r="E9" s="42">
        <v>3742489.81</v>
      </c>
      <c r="F9" s="7">
        <f>E9/(B9+C9+D9)</f>
        <v>0.62255507111369879</v>
      </c>
      <c r="G9" s="34" t="s">
        <v>213</v>
      </c>
      <c r="I9" s="28">
        <f t="shared" ref="I9:I15" si="1">B9-E9</f>
        <v>2269010.19</v>
      </c>
    </row>
    <row r="10" spans="1:10" ht="81.75" customHeight="1" x14ac:dyDescent="0.25">
      <c r="A10" s="10" t="s">
        <v>88</v>
      </c>
      <c r="B10" s="24">
        <v>248000</v>
      </c>
      <c r="C10" s="8">
        <v>0</v>
      </c>
      <c r="D10" s="8">
        <v>0</v>
      </c>
      <c r="E10" s="42">
        <v>66243.34</v>
      </c>
      <c r="F10" s="7">
        <f t="shared" ref="F10" si="2">E10/(B10+C10+D10)</f>
        <v>0.26711024193548388</v>
      </c>
      <c r="G10" s="34" t="s">
        <v>214</v>
      </c>
      <c r="I10" s="28">
        <f t="shared" si="1"/>
        <v>181756.66</v>
      </c>
    </row>
    <row r="11" spans="1:10" s="9" customFormat="1" ht="126.75" customHeight="1" x14ac:dyDescent="0.25">
      <c r="A11" s="27" t="s">
        <v>87</v>
      </c>
      <c r="B11" s="24">
        <v>9161700</v>
      </c>
      <c r="C11" s="8">
        <v>0</v>
      </c>
      <c r="D11" s="8">
        <v>0</v>
      </c>
      <c r="E11" s="42">
        <v>2508566.9700000002</v>
      </c>
      <c r="F11" s="7">
        <f t="shared" ref="F11:F15" si="3">E11/(B11+C11+D11)</f>
        <v>0.273810206621042</v>
      </c>
      <c r="G11" s="34" t="s">
        <v>217</v>
      </c>
      <c r="I11" s="28">
        <f t="shared" si="1"/>
        <v>6653133.0299999993</v>
      </c>
    </row>
    <row r="12" spans="1:10" ht="96" customHeight="1" x14ac:dyDescent="0.25">
      <c r="A12" s="43" t="s">
        <v>95</v>
      </c>
      <c r="B12" s="24">
        <v>3219000</v>
      </c>
      <c r="C12" s="8">
        <v>0</v>
      </c>
      <c r="D12" s="8">
        <v>0</v>
      </c>
      <c r="E12" s="42">
        <v>1094047.69</v>
      </c>
      <c r="F12" s="7">
        <f t="shared" ref="F12:F13" si="4">E12/(B12+C12+D12)</f>
        <v>0.33987191363777569</v>
      </c>
      <c r="G12" s="76" t="s">
        <v>215</v>
      </c>
      <c r="I12" s="28">
        <f t="shared" si="1"/>
        <v>2124952.31</v>
      </c>
    </row>
    <row r="13" spans="1:10" ht="95.25" customHeight="1" x14ac:dyDescent="0.25">
      <c r="A13" s="44" t="s">
        <v>96</v>
      </c>
      <c r="B13" s="24">
        <v>1485050</v>
      </c>
      <c r="C13" s="8">
        <v>0</v>
      </c>
      <c r="D13" s="8">
        <v>0</v>
      </c>
      <c r="E13" s="42">
        <v>514405.49</v>
      </c>
      <c r="F13" s="7">
        <f t="shared" si="4"/>
        <v>0.34638934042624825</v>
      </c>
      <c r="G13" s="36" t="s">
        <v>218</v>
      </c>
      <c r="I13" s="28">
        <f t="shared" si="1"/>
        <v>970644.51</v>
      </c>
    </row>
    <row r="14" spans="1:10" s="29" customFormat="1" ht="53.25" customHeight="1" x14ac:dyDescent="0.25">
      <c r="A14" s="44" t="s">
        <v>99</v>
      </c>
      <c r="B14" s="24">
        <v>380205</v>
      </c>
      <c r="C14" s="8">
        <v>0</v>
      </c>
      <c r="D14" s="8">
        <v>0</v>
      </c>
      <c r="E14" s="42">
        <v>123799.18</v>
      </c>
      <c r="F14" s="7">
        <f t="shared" si="3"/>
        <v>0.32561165686932048</v>
      </c>
      <c r="G14" s="76" t="s">
        <v>216</v>
      </c>
      <c r="I14" s="28">
        <f t="shared" si="1"/>
        <v>256405.82</v>
      </c>
    </row>
    <row r="15" spans="1:10" ht="15.75" x14ac:dyDescent="0.25">
      <c r="A15" s="33" t="s">
        <v>89</v>
      </c>
      <c r="B15" s="37">
        <f>SUM(B8:B14)</f>
        <v>29641455</v>
      </c>
      <c r="C15" s="37">
        <f>SUM(C8:C14)</f>
        <v>0</v>
      </c>
      <c r="D15" s="37">
        <f>SUM(D8:D14)</f>
        <v>0</v>
      </c>
      <c r="E15" s="47">
        <f>SUM(E8:E14)</f>
        <v>12125066.379999999</v>
      </c>
      <c r="F15" s="22">
        <f t="shared" si="3"/>
        <v>0.4090577328272178</v>
      </c>
      <c r="G15" s="35"/>
      <c r="I15" s="28">
        <f t="shared" si="1"/>
        <v>17516388.620000001</v>
      </c>
    </row>
    <row r="16" spans="1:10" x14ac:dyDescent="0.25">
      <c r="I16" s="23">
        <f>I14+I13+I12+I11+I10+I9+I8</f>
        <v>17516388.619999997</v>
      </c>
    </row>
  </sheetData>
  <mergeCells count="2">
    <mergeCell ref="A3:G3"/>
    <mergeCell ref="A4:G4"/>
  </mergeCells>
  <pageMargins left="0.70866141732283472" right="0.70866141732283472" top="0.74803149606299213" bottom="0.39370078740157483" header="0.31496062992125984" footer="0.31496062992125984"/>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7"/>
  <sheetViews>
    <sheetView topLeftCell="A19" zoomScale="70" zoomScaleNormal="70" workbookViewId="0">
      <selection activeCell="C25" sqref="C25"/>
    </sheetView>
  </sheetViews>
  <sheetFormatPr defaultRowHeight="15" x14ac:dyDescent="0.25"/>
  <cols>
    <col min="1" max="1" width="5.140625" customWidth="1"/>
    <col min="2" max="2" width="24.5703125" style="4" customWidth="1"/>
    <col min="3" max="3" width="50.28515625" customWidth="1"/>
    <col min="4" max="4" width="24.5703125" customWidth="1"/>
    <col min="5" max="5" width="17" customWidth="1"/>
    <col min="6" max="6" width="14.5703125" customWidth="1"/>
    <col min="7" max="7" width="19" style="66" customWidth="1"/>
    <col min="8" max="8" width="18.7109375" style="66" customWidth="1"/>
    <col min="9" max="9" width="15.140625" customWidth="1"/>
    <col min="10" max="10" width="21.7109375" style="66" customWidth="1"/>
    <col min="11" max="11" width="20.28515625" customWidth="1"/>
    <col min="12" max="12" width="14.7109375" customWidth="1"/>
    <col min="13" max="13" width="22.5703125" customWidth="1"/>
  </cols>
  <sheetData>
    <row r="2" spans="1:13" ht="15.75" x14ac:dyDescent="0.25">
      <c r="A2" s="111" t="s">
        <v>23</v>
      </c>
      <c r="B2" s="111"/>
      <c r="C2" s="111"/>
      <c r="D2" s="111"/>
      <c r="E2" s="111"/>
      <c r="F2" s="111"/>
      <c r="G2" s="111"/>
      <c r="H2" s="111"/>
      <c r="I2" s="111"/>
      <c r="J2" s="111"/>
      <c r="K2" s="111"/>
      <c r="L2" s="111"/>
      <c r="M2" s="111"/>
    </row>
    <row r="3" spans="1:13" ht="15.75" x14ac:dyDescent="0.25">
      <c r="A3" s="111" t="s">
        <v>24</v>
      </c>
      <c r="B3" s="111"/>
      <c r="C3" s="111"/>
      <c r="D3" s="111"/>
      <c r="E3" s="111"/>
      <c r="F3" s="111"/>
      <c r="G3" s="111"/>
      <c r="H3" s="111"/>
      <c r="I3" s="111"/>
      <c r="J3" s="111"/>
      <c r="K3" s="111"/>
      <c r="L3" s="111"/>
      <c r="M3" s="111"/>
    </row>
    <row r="4" spans="1:13" ht="15.75" x14ac:dyDescent="0.25">
      <c r="A4" s="2"/>
    </row>
    <row r="5" spans="1:13" ht="180.75" customHeight="1" x14ac:dyDescent="0.25">
      <c r="A5" s="5" t="s">
        <v>17</v>
      </c>
      <c r="B5" s="93" t="s">
        <v>25</v>
      </c>
      <c r="C5" s="5" t="s">
        <v>26</v>
      </c>
      <c r="D5" s="5" t="s">
        <v>173</v>
      </c>
      <c r="E5" s="5" t="s">
        <v>27</v>
      </c>
      <c r="F5" s="5" t="s">
        <v>28</v>
      </c>
      <c r="G5" s="73" t="s">
        <v>29</v>
      </c>
      <c r="H5" s="73" t="s">
        <v>30</v>
      </c>
      <c r="I5" s="5" t="s">
        <v>34</v>
      </c>
      <c r="J5" s="73" t="s">
        <v>35</v>
      </c>
      <c r="K5" s="5" t="s">
        <v>31</v>
      </c>
      <c r="L5" s="5" t="s">
        <v>32</v>
      </c>
      <c r="M5" s="5" t="s">
        <v>33</v>
      </c>
    </row>
    <row r="6" spans="1:13" ht="15.75" x14ac:dyDescent="0.25">
      <c r="A6" s="5">
        <v>1</v>
      </c>
      <c r="B6" s="93">
        <v>2</v>
      </c>
      <c r="C6" s="5">
        <v>3</v>
      </c>
      <c r="D6" s="5">
        <v>4</v>
      </c>
      <c r="E6" s="5">
        <v>5</v>
      </c>
      <c r="F6" s="5">
        <v>6</v>
      </c>
      <c r="G6" s="73">
        <v>7</v>
      </c>
      <c r="H6" s="73">
        <v>8</v>
      </c>
      <c r="I6" s="5">
        <v>9</v>
      </c>
      <c r="J6" s="73">
        <v>10</v>
      </c>
      <c r="K6" s="5">
        <v>11</v>
      </c>
      <c r="L6" s="5">
        <v>12</v>
      </c>
      <c r="M6" s="5">
        <v>13</v>
      </c>
    </row>
    <row r="7" spans="1:13" ht="15.75" x14ac:dyDescent="0.25">
      <c r="A7" s="86"/>
      <c r="B7" s="94"/>
      <c r="C7" s="88" t="s">
        <v>165</v>
      </c>
      <c r="D7" s="88"/>
      <c r="E7" s="86"/>
      <c r="F7" s="86"/>
      <c r="G7" s="87"/>
      <c r="H7" s="87"/>
      <c r="I7" s="86"/>
      <c r="J7" s="87"/>
      <c r="K7" s="86"/>
      <c r="L7" s="89"/>
      <c r="M7" s="86"/>
    </row>
    <row r="8" spans="1:13" s="9" customFormat="1" ht="99.75" customHeight="1" x14ac:dyDescent="0.25">
      <c r="A8" s="7">
        <v>1</v>
      </c>
      <c r="B8" s="101" t="s">
        <v>175</v>
      </c>
      <c r="C8" s="6" t="s">
        <v>100</v>
      </c>
      <c r="D8" s="6" t="s">
        <v>174</v>
      </c>
      <c r="E8" s="7" t="s">
        <v>52</v>
      </c>
      <c r="F8" s="7" t="s">
        <v>81</v>
      </c>
      <c r="G8" s="70">
        <f>2150</f>
        <v>2150</v>
      </c>
      <c r="H8" s="70">
        <v>1065</v>
      </c>
      <c r="I8" s="48">
        <f>H8/G8</f>
        <v>0.49534883720930234</v>
      </c>
      <c r="J8" s="42">
        <v>580500</v>
      </c>
      <c r="K8" s="7">
        <f t="shared" ref="K8:K22" si="0">J8/$J$27</f>
        <v>2.2152176991933104E-2</v>
      </c>
      <c r="L8" s="126">
        <f>K8*I8+K9*I9+K10*I10+K11*I11+K16*I16+K12*I12+K13*I13+K17*I17+K18*I18+K19*I19+K20*I20+K21*I21+K24*I24+K25*I25+K26*I26+I22*K22+K14*I14+K15*I15</f>
        <v>0.4236223534416359</v>
      </c>
      <c r="M8" s="40" t="s">
        <v>150</v>
      </c>
    </row>
    <row r="9" spans="1:13" s="9" customFormat="1" ht="87.75" customHeight="1" x14ac:dyDescent="0.25">
      <c r="A9" s="7">
        <v>2</v>
      </c>
      <c r="B9" s="101" t="s">
        <v>175</v>
      </c>
      <c r="C9" s="6" t="s">
        <v>100</v>
      </c>
      <c r="D9" s="6" t="s">
        <v>174</v>
      </c>
      <c r="E9" s="7" t="s">
        <v>58</v>
      </c>
      <c r="F9" s="7" t="s">
        <v>81</v>
      </c>
      <c r="G9" s="70">
        <f>800</f>
        <v>800</v>
      </c>
      <c r="H9" s="70">
        <v>451</v>
      </c>
      <c r="I9" s="48">
        <f t="shared" ref="I9:I26" si="1">H9/G9</f>
        <v>0.56374999999999997</v>
      </c>
      <c r="J9" s="42">
        <v>316000</v>
      </c>
      <c r="K9" s="7">
        <f t="shared" si="0"/>
        <v>1.2058721670027323E-2</v>
      </c>
      <c r="L9" s="127"/>
      <c r="M9" s="40" t="s">
        <v>150</v>
      </c>
    </row>
    <row r="10" spans="1:13" s="9" customFormat="1" ht="90.75" customHeight="1" x14ac:dyDescent="0.25">
      <c r="A10" s="7">
        <v>3</v>
      </c>
      <c r="B10" s="101" t="s">
        <v>176</v>
      </c>
      <c r="C10" s="6" t="s">
        <v>101</v>
      </c>
      <c r="D10" s="6" t="s">
        <v>174</v>
      </c>
      <c r="E10" s="7" t="s">
        <v>52</v>
      </c>
      <c r="F10" s="7" t="s">
        <v>81</v>
      </c>
      <c r="G10" s="70">
        <f>2800</f>
        <v>2800</v>
      </c>
      <c r="H10" s="70">
        <v>815</v>
      </c>
      <c r="I10" s="48">
        <f t="shared" si="1"/>
        <v>0.29107142857142859</v>
      </c>
      <c r="J10" s="42">
        <v>840000</v>
      </c>
      <c r="K10" s="7">
        <f t="shared" si="0"/>
        <v>3.2054829755768836E-2</v>
      </c>
      <c r="L10" s="127"/>
      <c r="M10" s="40" t="s">
        <v>148</v>
      </c>
    </row>
    <row r="11" spans="1:13" s="9" customFormat="1" ht="90" customHeight="1" x14ac:dyDescent="0.25">
      <c r="A11" s="7">
        <v>4</v>
      </c>
      <c r="B11" s="101" t="s">
        <v>176</v>
      </c>
      <c r="C11" s="6" t="s">
        <v>101</v>
      </c>
      <c r="D11" s="6" t="s">
        <v>174</v>
      </c>
      <c r="E11" s="7" t="s">
        <v>58</v>
      </c>
      <c r="F11" s="7" t="s">
        <v>81</v>
      </c>
      <c r="G11" s="70">
        <f>50</f>
        <v>50</v>
      </c>
      <c r="H11" s="70">
        <v>28</v>
      </c>
      <c r="I11" s="48">
        <f t="shared" si="1"/>
        <v>0.56000000000000005</v>
      </c>
      <c r="J11" s="42">
        <v>20750</v>
      </c>
      <c r="K11" s="7">
        <f t="shared" si="0"/>
        <v>7.9183061599071827E-4</v>
      </c>
      <c r="L11" s="127"/>
      <c r="M11" s="40" t="s">
        <v>149</v>
      </c>
    </row>
    <row r="12" spans="1:13" s="9" customFormat="1" ht="87.75" customHeight="1" x14ac:dyDescent="0.25">
      <c r="A12" s="7">
        <v>5</v>
      </c>
      <c r="B12" s="101" t="s">
        <v>178</v>
      </c>
      <c r="C12" s="6" t="s">
        <v>103</v>
      </c>
      <c r="D12" s="6" t="s">
        <v>174</v>
      </c>
      <c r="E12" s="7" t="s">
        <v>52</v>
      </c>
      <c r="F12" s="7" t="s">
        <v>81</v>
      </c>
      <c r="G12" s="70">
        <f>6000</f>
        <v>6000</v>
      </c>
      <c r="H12" s="70">
        <v>1966</v>
      </c>
      <c r="I12" s="48">
        <f>H12/G12</f>
        <v>0.32766666666666666</v>
      </c>
      <c r="J12" s="42">
        <f>1500000</f>
        <v>1500000</v>
      </c>
      <c r="K12" s="7">
        <f t="shared" si="0"/>
        <v>5.7240767421015776E-2</v>
      </c>
      <c r="L12" s="127"/>
      <c r="M12" s="109" t="s">
        <v>152</v>
      </c>
    </row>
    <row r="13" spans="1:13" s="9" customFormat="1" ht="87.75" customHeight="1" x14ac:dyDescent="0.25">
      <c r="A13" s="7">
        <v>6</v>
      </c>
      <c r="B13" s="101" t="s">
        <v>178</v>
      </c>
      <c r="C13" s="6" t="s">
        <v>103</v>
      </c>
      <c r="D13" s="6" t="s">
        <v>174</v>
      </c>
      <c r="E13" s="7" t="s">
        <v>58</v>
      </c>
      <c r="F13" s="7" t="s">
        <v>81</v>
      </c>
      <c r="G13" s="70">
        <f>1000</f>
        <v>1000</v>
      </c>
      <c r="H13" s="70">
        <v>814</v>
      </c>
      <c r="I13" s="48">
        <f>H13/G13</f>
        <v>0.81399999999999995</v>
      </c>
      <c r="J13" s="42">
        <f>360000</f>
        <v>360000</v>
      </c>
      <c r="K13" s="7">
        <f t="shared" si="0"/>
        <v>1.3737784181043787E-2</v>
      </c>
      <c r="L13" s="127"/>
      <c r="M13" s="109" t="s">
        <v>151</v>
      </c>
    </row>
    <row r="14" spans="1:13" s="9" customFormat="1" ht="93" customHeight="1" x14ac:dyDescent="0.25">
      <c r="A14" s="7">
        <v>7</v>
      </c>
      <c r="B14" s="101" t="s">
        <v>177</v>
      </c>
      <c r="C14" s="6" t="s">
        <v>162</v>
      </c>
      <c r="D14" s="6" t="s">
        <v>174</v>
      </c>
      <c r="E14" s="7" t="s">
        <v>52</v>
      </c>
      <c r="F14" s="7" t="s">
        <v>81</v>
      </c>
      <c r="G14" s="70">
        <f>90</f>
        <v>90</v>
      </c>
      <c r="H14" s="70">
        <v>35</v>
      </c>
      <c r="I14" s="48">
        <f>H14/G14</f>
        <v>0.3888888888888889</v>
      </c>
      <c r="J14" s="42">
        <f>21600</f>
        <v>21600</v>
      </c>
      <c r="K14" s="7">
        <f t="shared" si="0"/>
        <v>8.2426705086262721E-4</v>
      </c>
      <c r="L14" s="127"/>
      <c r="M14" s="109" t="s">
        <v>152</v>
      </c>
    </row>
    <row r="15" spans="1:13" s="9" customFormat="1" ht="86.25" customHeight="1" x14ac:dyDescent="0.25">
      <c r="A15" s="7">
        <v>8</v>
      </c>
      <c r="B15" s="101" t="s">
        <v>177</v>
      </c>
      <c r="C15" s="6" t="s">
        <v>162</v>
      </c>
      <c r="D15" s="6" t="s">
        <v>174</v>
      </c>
      <c r="E15" s="7" t="s">
        <v>58</v>
      </c>
      <c r="F15" s="7" t="s">
        <v>81</v>
      </c>
      <c r="G15" s="70">
        <f>30</f>
        <v>30</v>
      </c>
      <c r="H15" s="70">
        <v>12</v>
      </c>
      <c r="I15" s="48">
        <f>H15/G15</f>
        <v>0.4</v>
      </c>
      <c r="J15" s="42">
        <f>12000</f>
        <v>12000</v>
      </c>
      <c r="K15" s="7">
        <f t="shared" si="0"/>
        <v>4.5792613936812619E-4</v>
      </c>
      <c r="L15" s="127"/>
      <c r="M15" s="109" t="s">
        <v>152</v>
      </c>
    </row>
    <row r="16" spans="1:13" s="9" customFormat="1" ht="171.75" customHeight="1" x14ac:dyDescent="0.25">
      <c r="A16" s="7">
        <v>9</v>
      </c>
      <c r="B16" s="101" t="s">
        <v>193</v>
      </c>
      <c r="C16" s="6" t="s">
        <v>102</v>
      </c>
      <c r="D16" s="6" t="s">
        <v>174</v>
      </c>
      <c r="E16" s="7" t="s">
        <v>83</v>
      </c>
      <c r="F16" s="7" t="s">
        <v>80</v>
      </c>
      <c r="G16" s="70">
        <f>1800</f>
        <v>1800</v>
      </c>
      <c r="H16" s="70">
        <v>620</v>
      </c>
      <c r="I16" s="48">
        <f t="shared" si="1"/>
        <v>0.34444444444444444</v>
      </c>
      <c r="J16" s="42">
        <f>3036600</f>
        <v>3036600</v>
      </c>
      <c r="K16" s="7">
        <f t="shared" si="0"/>
        <v>0.11587820956710435</v>
      </c>
      <c r="L16" s="127"/>
      <c r="M16" s="109" t="s">
        <v>160</v>
      </c>
    </row>
    <row r="17" spans="1:13" s="9" customFormat="1" ht="88.5" customHeight="1" x14ac:dyDescent="0.25">
      <c r="A17" s="7">
        <v>10</v>
      </c>
      <c r="B17" s="101" t="s">
        <v>172</v>
      </c>
      <c r="C17" s="6" t="s">
        <v>104</v>
      </c>
      <c r="D17" s="6" t="s">
        <v>188</v>
      </c>
      <c r="E17" s="7" t="s">
        <v>79</v>
      </c>
      <c r="F17" s="7" t="s">
        <v>82</v>
      </c>
      <c r="G17" s="70">
        <f>5250</f>
        <v>5250</v>
      </c>
      <c r="H17" s="70">
        <v>2243</v>
      </c>
      <c r="I17" s="48">
        <f t="shared" si="1"/>
        <v>0.42723809523809525</v>
      </c>
      <c r="J17" s="42">
        <f>8289750</f>
        <v>8289750</v>
      </c>
      <c r="K17" s="7">
        <f t="shared" si="0"/>
        <v>0.31634110115224368</v>
      </c>
      <c r="L17" s="127"/>
      <c r="M17" s="109"/>
    </row>
    <row r="18" spans="1:13" s="9" customFormat="1" ht="106.5" customHeight="1" x14ac:dyDescent="0.25">
      <c r="A18" s="7">
        <v>11</v>
      </c>
      <c r="B18" s="101" t="s">
        <v>185</v>
      </c>
      <c r="C18" s="6" t="s">
        <v>105</v>
      </c>
      <c r="D18" s="6" t="s">
        <v>174</v>
      </c>
      <c r="E18" s="7" t="s">
        <v>78</v>
      </c>
      <c r="F18" s="7" t="s">
        <v>81</v>
      </c>
      <c r="G18" s="70">
        <f>140</f>
        <v>140</v>
      </c>
      <c r="H18" s="70">
        <v>82</v>
      </c>
      <c r="I18" s="48">
        <f t="shared" si="1"/>
        <v>0.58571428571428574</v>
      </c>
      <c r="J18" s="42">
        <f>823900</f>
        <v>823900</v>
      </c>
      <c r="K18" s="7">
        <f t="shared" si="0"/>
        <v>3.1440445518783264E-2</v>
      </c>
      <c r="L18" s="127"/>
      <c r="M18" s="109" t="s">
        <v>152</v>
      </c>
    </row>
    <row r="19" spans="1:13" s="9" customFormat="1" ht="102" customHeight="1" x14ac:dyDescent="0.25">
      <c r="A19" s="7">
        <v>12</v>
      </c>
      <c r="B19" s="101" t="s">
        <v>186</v>
      </c>
      <c r="C19" s="6" t="s">
        <v>170</v>
      </c>
      <c r="D19" s="6" t="s">
        <v>174</v>
      </c>
      <c r="E19" s="7" t="s">
        <v>78</v>
      </c>
      <c r="F19" s="7" t="s">
        <v>81</v>
      </c>
      <c r="G19" s="70">
        <f>260</f>
        <v>260</v>
      </c>
      <c r="H19" s="70">
        <v>103</v>
      </c>
      <c r="I19" s="48">
        <f t="shared" si="1"/>
        <v>0.39615384615384613</v>
      </c>
      <c r="J19" s="42">
        <f>4695340</f>
        <v>4695340</v>
      </c>
      <c r="K19" s="7">
        <f t="shared" si="0"/>
        <v>0.17917657660172814</v>
      </c>
      <c r="L19" s="127"/>
      <c r="M19" s="108" t="s">
        <v>90</v>
      </c>
    </row>
    <row r="20" spans="1:13" s="9" customFormat="1" ht="92.25" customHeight="1" x14ac:dyDescent="0.25">
      <c r="A20" s="7">
        <v>13</v>
      </c>
      <c r="B20" s="101" t="s">
        <v>187</v>
      </c>
      <c r="C20" s="6" t="s">
        <v>106</v>
      </c>
      <c r="D20" s="6" t="s">
        <v>174</v>
      </c>
      <c r="E20" s="7" t="s">
        <v>77</v>
      </c>
      <c r="F20" s="7" t="s">
        <v>81</v>
      </c>
      <c r="G20" s="70">
        <f>12</f>
        <v>12</v>
      </c>
      <c r="H20" s="70">
        <v>9</v>
      </c>
      <c r="I20" s="48">
        <f t="shared" ref="I20:I24" si="2">H20/G20</f>
        <v>0.75</v>
      </c>
      <c r="J20" s="42">
        <f>42000</f>
        <v>42000</v>
      </c>
      <c r="K20" s="7">
        <f t="shared" si="0"/>
        <v>1.6027414877884418E-3</v>
      </c>
      <c r="L20" s="127"/>
      <c r="M20" s="109" t="s">
        <v>151</v>
      </c>
    </row>
    <row r="21" spans="1:13" s="9" customFormat="1" ht="97.5" customHeight="1" x14ac:dyDescent="0.25">
      <c r="A21" s="7">
        <v>14</v>
      </c>
      <c r="B21" s="101" t="s">
        <v>191</v>
      </c>
      <c r="C21" s="6" t="s">
        <v>107</v>
      </c>
      <c r="D21" s="6" t="s">
        <v>182</v>
      </c>
      <c r="E21" s="7" t="s">
        <v>76</v>
      </c>
      <c r="F21" s="7" t="s">
        <v>70</v>
      </c>
      <c r="G21" s="70">
        <f>2400</f>
        <v>2400</v>
      </c>
      <c r="H21" s="70">
        <v>1227</v>
      </c>
      <c r="I21" s="48">
        <f t="shared" si="2"/>
        <v>0.51124999999999998</v>
      </c>
      <c r="J21" s="42">
        <f>1440000</f>
        <v>1440000</v>
      </c>
      <c r="K21" s="7">
        <f t="shared" si="0"/>
        <v>5.4951136724175148E-2</v>
      </c>
      <c r="L21" s="127"/>
      <c r="M21" s="109" t="s">
        <v>152</v>
      </c>
    </row>
    <row r="22" spans="1:13" s="9" customFormat="1" ht="84.75" customHeight="1" x14ac:dyDescent="0.25">
      <c r="A22" s="7">
        <v>15</v>
      </c>
      <c r="B22" s="101" t="s">
        <v>192</v>
      </c>
      <c r="C22" s="92" t="s">
        <v>171</v>
      </c>
      <c r="D22" s="6" t="s">
        <v>174</v>
      </c>
      <c r="E22" s="7" t="s">
        <v>78</v>
      </c>
      <c r="F22" s="7" t="s">
        <v>81</v>
      </c>
      <c r="G22" s="70">
        <v>70</v>
      </c>
      <c r="H22" s="70">
        <v>27</v>
      </c>
      <c r="I22" s="48">
        <f>H22/G22</f>
        <v>0.38571428571428573</v>
      </c>
      <c r="J22" s="42">
        <f>351610</f>
        <v>351610</v>
      </c>
      <c r="K22" s="7">
        <f t="shared" si="0"/>
        <v>1.3417617488602238E-2</v>
      </c>
      <c r="L22" s="127"/>
      <c r="M22" s="108" t="s">
        <v>159</v>
      </c>
    </row>
    <row r="23" spans="1:13" s="9" customFormat="1" ht="20.100000000000001" customHeight="1" x14ac:dyDescent="0.25">
      <c r="A23" s="80"/>
      <c r="B23" s="102"/>
      <c r="C23" s="81" t="s">
        <v>163</v>
      </c>
      <c r="D23" s="81"/>
      <c r="E23" s="82"/>
      <c r="F23" s="82"/>
      <c r="G23" s="106"/>
      <c r="H23" s="106"/>
      <c r="I23" s="84"/>
      <c r="J23" s="85"/>
      <c r="K23" s="82"/>
      <c r="L23" s="127"/>
      <c r="M23" s="90"/>
    </row>
    <row r="24" spans="1:13" s="9" customFormat="1" ht="50.1" customHeight="1" x14ac:dyDescent="0.25">
      <c r="A24" s="7">
        <v>16</v>
      </c>
      <c r="B24" s="101" t="s">
        <v>180</v>
      </c>
      <c r="C24" s="6" t="s">
        <v>164</v>
      </c>
      <c r="D24" s="6"/>
      <c r="E24" s="7" t="s">
        <v>75</v>
      </c>
      <c r="F24" s="7" t="s">
        <v>80</v>
      </c>
      <c r="G24" s="70">
        <f>265</f>
        <v>265</v>
      </c>
      <c r="H24" s="70">
        <v>153</v>
      </c>
      <c r="I24" s="48">
        <f t="shared" si="2"/>
        <v>0.57735849056603772</v>
      </c>
      <c r="J24" s="42">
        <f>1485049.4</f>
        <v>1485049.4</v>
      </c>
      <c r="K24" s="7">
        <f>J24/$J$27</f>
        <v>5.667024487607935E-2</v>
      </c>
      <c r="L24" s="127"/>
      <c r="M24" s="108"/>
    </row>
    <row r="25" spans="1:13" s="9" customFormat="1" ht="84.95" customHeight="1" x14ac:dyDescent="0.25">
      <c r="A25" s="7">
        <v>17</v>
      </c>
      <c r="B25" s="101" t="s">
        <v>180</v>
      </c>
      <c r="C25" s="92" t="s">
        <v>179</v>
      </c>
      <c r="D25" s="6" t="s">
        <v>181</v>
      </c>
      <c r="E25" s="7" t="s">
        <v>108</v>
      </c>
      <c r="F25" s="7" t="s">
        <v>81</v>
      </c>
      <c r="G25" s="70">
        <f>4000</f>
        <v>4000</v>
      </c>
      <c r="H25" s="70">
        <v>1048</v>
      </c>
      <c r="I25" s="48">
        <f t="shared" si="1"/>
        <v>0.26200000000000001</v>
      </c>
      <c r="J25" s="42">
        <f>1800000</f>
        <v>1800000</v>
      </c>
      <c r="K25" s="7">
        <f>J25/$J$27</f>
        <v>6.8688920905218928E-2</v>
      </c>
      <c r="L25" s="127"/>
      <c r="M25" s="109" t="s">
        <v>197</v>
      </c>
    </row>
    <row r="26" spans="1:13" s="9" customFormat="1" ht="112.5" customHeight="1" x14ac:dyDescent="0.25">
      <c r="A26" s="7">
        <v>18</v>
      </c>
      <c r="B26" s="101" t="s">
        <v>180</v>
      </c>
      <c r="C26" s="92" t="s">
        <v>183</v>
      </c>
      <c r="D26" s="6" t="s">
        <v>184</v>
      </c>
      <c r="E26" s="7" t="s">
        <v>109</v>
      </c>
      <c r="F26" s="7" t="s">
        <v>81</v>
      </c>
      <c r="G26" s="70">
        <f>400</f>
        <v>400</v>
      </c>
      <c r="H26" s="70">
        <v>284</v>
      </c>
      <c r="I26" s="48">
        <f t="shared" si="1"/>
        <v>0.71</v>
      </c>
      <c r="J26" s="42">
        <f>590000</f>
        <v>590000</v>
      </c>
      <c r="K26" s="7">
        <f>J26/$J$27</f>
        <v>2.2514701852266207E-2</v>
      </c>
      <c r="L26" s="127"/>
      <c r="M26" s="109"/>
    </row>
    <row r="27" spans="1:13" s="13" customFormat="1" ht="15.75" x14ac:dyDescent="0.25">
      <c r="A27" s="11"/>
      <c r="B27" s="95"/>
      <c r="C27" s="12" t="s">
        <v>51</v>
      </c>
      <c r="D27" s="12"/>
      <c r="E27" s="11"/>
      <c r="F27" s="11"/>
      <c r="G27" s="75">
        <f>SUM(G8:G26)</f>
        <v>27517</v>
      </c>
      <c r="H27" s="75">
        <f>SUM(H8:H26)</f>
        <v>10982</v>
      </c>
      <c r="I27" s="26"/>
      <c r="J27" s="74">
        <f>SUM(J8:J26)</f>
        <v>26205099.399999999</v>
      </c>
      <c r="K27" s="11"/>
      <c r="L27" s="11">
        <f>L8</f>
        <v>0.4236223534416359</v>
      </c>
      <c r="M27" s="11"/>
    </row>
  </sheetData>
  <mergeCells count="3">
    <mergeCell ref="L8:L26"/>
    <mergeCell ref="A2:M2"/>
    <mergeCell ref="A3:M3"/>
  </mergeCells>
  <pageMargins left="0.39370078740157483" right="0.39370078740157483" top="0.74803149606299213" bottom="0.39370078740157483" header="0.31496062992125984" footer="0.31496062992125984"/>
  <pageSetup paperSize="9" scale="5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A8" sqref="A8"/>
    </sheetView>
  </sheetViews>
  <sheetFormatPr defaultRowHeight="15" x14ac:dyDescent="0.25"/>
  <cols>
    <col min="1" max="1" width="36.7109375" customWidth="1"/>
    <col min="2" max="2" width="44.42578125" customWidth="1"/>
    <col min="3" max="3" width="45.42578125" customWidth="1"/>
  </cols>
  <sheetData>
    <row r="2" spans="1:3" ht="15.75" x14ac:dyDescent="0.25">
      <c r="A2" s="111" t="s">
        <v>36</v>
      </c>
      <c r="B2" s="111"/>
      <c r="C2" s="111"/>
    </row>
    <row r="3" spans="1:3" ht="15.75" x14ac:dyDescent="0.25">
      <c r="A3" s="111" t="s">
        <v>37</v>
      </c>
      <c r="B3" s="111"/>
      <c r="C3" s="111"/>
    </row>
    <row r="4" spans="1:3" ht="15.75" x14ac:dyDescent="0.25">
      <c r="A4" s="2"/>
    </row>
    <row r="5" spans="1:3" ht="78.75" x14ac:dyDescent="0.25">
      <c r="A5" s="5" t="s">
        <v>38</v>
      </c>
      <c r="B5" s="5" t="s">
        <v>39</v>
      </c>
      <c r="C5" s="5" t="s">
        <v>94</v>
      </c>
    </row>
    <row r="6" spans="1:3" ht="15.75" x14ac:dyDescent="0.25">
      <c r="A6" s="5">
        <v>1</v>
      </c>
      <c r="B6" s="5">
        <v>2</v>
      </c>
      <c r="C6" s="5">
        <v>3</v>
      </c>
    </row>
    <row r="7" spans="1:3" s="9" customFormat="1" ht="30" customHeight="1" x14ac:dyDescent="0.25">
      <c r="A7" s="8">
        <f>'Часть 2 Показат. объема'!L27</f>
        <v>0.4236223534416359</v>
      </c>
      <c r="B7" s="45">
        <f>'Часть 1 Фин.обеспеч.'!F15</f>
        <v>0.4090577328272178</v>
      </c>
      <c r="C7" s="46">
        <f>A7/B7</f>
        <v>1.0356052934478324</v>
      </c>
    </row>
    <row r="8" spans="1:3" s="31" customFormat="1" ht="15.75" x14ac:dyDescent="0.25">
      <c r="B8" s="32"/>
    </row>
    <row r="9" spans="1:3" s="31" customFormat="1" x14ac:dyDescent="0.25"/>
    <row r="10" spans="1:3" x14ac:dyDescent="0.25">
      <c r="A10" s="128" t="s">
        <v>219</v>
      </c>
      <c r="B10" s="128"/>
      <c r="C10" s="128"/>
    </row>
    <row r="11" spans="1:3" x14ac:dyDescent="0.25">
      <c r="A11" s="128"/>
      <c r="B11" s="128"/>
      <c r="C11" s="128"/>
    </row>
    <row r="12" spans="1:3" x14ac:dyDescent="0.25">
      <c r="A12" s="128"/>
      <c r="B12" s="128"/>
      <c r="C12" s="128"/>
    </row>
    <row r="13" spans="1:3" x14ac:dyDescent="0.25">
      <c r="A13" s="128"/>
      <c r="B13" s="128"/>
      <c r="C13" s="128"/>
    </row>
    <row r="14" spans="1:3" x14ac:dyDescent="0.25">
      <c r="A14" s="30"/>
      <c r="B14" s="30"/>
      <c r="C14" s="30"/>
    </row>
    <row r="15" spans="1:3" x14ac:dyDescent="0.25">
      <c r="A15" s="30"/>
      <c r="B15" s="30"/>
      <c r="C15" s="30"/>
    </row>
    <row r="16" spans="1:3" x14ac:dyDescent="0.25">
      <c r="A16" s="30"/>
      <c r="B16" s="30"/>
      <c r="C16" s="30"/>
    </row>
  </sheetData>
  <mergeCells count="3">
    <mergeCell ref="A2:C2"/>
    <mergeCell ref="A3:C3"/>
    <mergeCell ref="A10:C13"/>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7"/>
  <sheetViews>
    <sheetView topLeftCell="C34" zoomScale="70" zoomScaleNormal="70" workbookViewId="0">
      <selection activeCell="C62" sqref="C62"/>
    </sheetView>
  </sheetViews>
  <sheetFormatPr defaultRowHeight="15" x14ac:dyDescent="0.25"/>
  <cols>
    <col min="1" max="1" width="5.42578125" style="4" customWidth="1"/>
    <col min="2" max="2" width="25" style="96" customWidth="1"/>
    <col min="3" max="3" width="53.140625" style="21" customWidth="1"/>
    <col min="4" max="4" width="58.5703125" style="21" customWidth="1"/>
    <col min="5" max="5" width="14.5703125" style="38" customWidth="1"/>
    <col min="6" max="6" width="19.42578125" style="49" customWidth="1"/>
    <col min="7" max="7" width="18.28515625" style="49" customWidth="1"/>
    <col min="8" max="8" width="18.85546875" customWidth="1"/>
    <col min="9" max="9" width="23" style="66" customWidth="1"/>
    <col min="10" max="10" width="39" style="66" customWidth="1"/>
  </cols>
  <sheetData>
    <row r="2" spans="1:10" ht="18.75" x14ac:dyDescent="0.3">
      <c r="A2" s="116" t="s">
        <v>147</v>
      </c>
      <c r="B2" s="116"/>
      <c r="C2" s="116"/>
      <c r="D2" s="116"/>
      <c r="E2" s="116"/>
      <c r="F2" s="116"/>
      <c r="G2" s="116"/>
      <c r="H2" s="116"/>
      <c r="I2" s="116"/>
    </row>
    <row r="3" spans="1:10" ht="15.75" x14ac:dyDescent="0.25">
      <c r="A3" s="3"/>
    </row>
    <row r="4" spans="1:10" ht="140.25" customHeight="1" x14ac:dyDescent="0.25">
      <c r="A4" s="52" t="s">
        <v>17</v>
      </c>
      <c r="B4" s="97" t="s">
        <v>40</v>
      </c>
      <c r="C4" s="53" t="s">
        <v>26</v>
      </c>
      <c r="D4" s="53" t="s">
        <v>110</v>
      </c>
      <c r="E4" s="53" t="s">
        <v>41</v>
      </c>
      <c r="F4" s="54" t="s">
        <v>42</v>
      </c>
      <c r="G4" s="54" t="s">
        <v>43</v>
      </c>
      <c r="H4" s="53" t="s">
        <v>48</v>
      </c>
      <c r="I4" s="67" t="s">
        <v>44</v>
      </c>
      <c r="J4" s="67" t="s">
        <v>111</v>
      </c>
    </row>
    <row r="5" spans="1:10" ht="15.75" x14ac:dyDescent="0.25">
      <c r="A5" s="55">
        <v>1</v>
      </c>
      <c r="B5" s="98">
        <v>2</v>
      </c>
      <c r="C5" s="57">
        <v>3</v>
      </c>
      <c r="D5" s="57"/>
      <c r="E5" s="56">
        <v>4</v>
      </c>
      <c r="F5" s="58">
        <v>5</v>
      </c>
      <c r="G5" s="58">
        <v>6</v>
      </c>
      <c r="H5" s="56">
        <v>8</v>
      </c>
      <c r="I5" s="68">
        <v>9</v>
      </c>
      <c r="J5" s="68">
        <v>9</v>
      </c>
    </row>
    <row r="6" spans="1:10" s="20" customFormat="1" ht="35.1" customHeight="1" x14ac:dyDescent="0.25">
      <c r="A6" s="19" t="s">
        <v>49</v>
      </c>
      <c r="B6" s="140" t="s">
        <v>175</v>
      </c>
      <c r="C6" s="143" t="s">
        <v>91</v>
      </c>
      <c r="D6" s="14" t="s">
        <v>52</v>
      </c>
      <c r="E6" s="7" t="s">
        <v>81</v>
      </c>
      <c r="F6" s="70">
        <f>'Часть 2 Показат. объема'!G8</f>
        <v>2150</v>
      </c>
      <c r="G6" s="70">
        <f>'Часть 2 Показат. объема'!H8</f>
        <v>1065</v>
      </c>
      <c r="H6" s="8">
        <f>G6/F6</f>
        <v>0.49534883720930234</v>
      </c>
      <c r="I6" s="141" t="s">
        <v>152</v>
      </c>
      <c r="J6" s="142" t="s">
        <v>202</v>
      </c>
    </row>
    <row r="7" spans="1:10" s="20" customFormat="1" ht="31.5" x14ac:dyDescent="0.25">
      <c r="A7" s="19" t="s">
        <v>56</v>
      </c>
      <c r="B7" s="135"/>
      <c r="C7" s="144"/>
      <c r="D7" s="14" t="s">
        <v>55</v>
      </c>
      <c r="E7" s="7" t="s">
        <v>194</v>
      </c>
      <c r="F7" s="15">
        <v>90</v>
      </c>
      <c r="G7" s="15">
        <v>98</v>
      </c>
      <c r="H7" s="8">
        <f>G7/F7</f>
        <v>1.0888888888888888</v>
      </c>
      <c r="I7" s="129"/>
      <c r="J7" s="131"/>
    </row>
    <row r="8" spans="1:10" s="20" customFormat="1" ht="35.25" customHeight="1" x14ac:dyDescent="0.25">
      <c r="A8" s="19" t="s">
        <v>57</v>
      </c>
      <c r="B8" s="136"/>
      <c r="C8" s="145"/>
      <c r="D8" s="14" t="s">
        <v>53</v>
      </c>
      <c r="E8" s="7" t="s">
        <v>194</v>
      </c>
      <c r="F8" s="15">
        <v>100</v>
      </c>
      <c r="G8" s="15">
        <v>100</v>
      </c>
      <c r="H8" s="8">
        <f t="shared" ref="H8:H47" si="0">G8/F8</f>
        <v>1</v>
      </c>
      <c r="I8" s="130"/>
      <c r="J8" s="132"/>
    </row>
    <row r="9" spans="1:10" s="20" customFormat="1" ht="35.1" customHeight="1" x14ac:dyDescent="0.25">
      <c r="A9" s="19" t="s">
        <v>59</v>
      </c>
      <c r="B9" s="140" t="s">
        <v>175</v>
      </c>
      <c r="C9" s="143" t="s">
        <v>91</v>
      </c>
      <c r="D9" s="14" t="s">
        <v>58</v>
      </c>
      <c r="E9" s="7" t="s">
        <v>81</v>
      </c>
      <c r="F9" s="70">
        <f>'Часть 2 Показат. объема'!G9</f>
        <v>800</v>
      </c>
      <c r="G9" s="70">
        <f>'Часть 2 Показат. объема'!H9</f>
        <v>451</v>
      </c>
      <c r="H9" s="8">
        <f t="shared" si="0"/>
        <v>0.56374999999999997</v>
      </c>
      <c r="I9" s="141" t="s">
        <v>152</v>
      </c>
      <c r="J9" s="142" t="s">
        <v>202</v>
      </c>
    </row>
    <row r="10" spans="1:10" s="20" customFormat="1" ht="31.5" x14ac:dyDescent="0.25">
      <c r="A10" s="19" t="s">
        <v>60</v>
      </c>
      <c r="B10" s="135"/>
      <c r="C10" s="144"/>
      <c r="D10" s="14" t="s">
        <v>55</v>
      </c>
      <c r="E10" s="7" t="s">
        <v>194</v>
      </c>
      <c r="F10" s="15">
        <v>90</v>
      </c>
      <c r="G10" s="15">
        <v>95</v>
      </c>
      <c r="H10" s="8">
        <f t="shared" si="0"/>
        <v>1.0555555555555556</v>
      </c>
      <c r="I10" s="129"/>
      <c r="J10" s="131"/>
    </row>
    <row r="11" spans="1:10" s="20" customFormat="1" ht="37.5" customHeight="1" x14ac:dyDescent="0.25">
      <c r="A11" s="19" t="s">
        <v>61</v>
      </c>
      <c r="B11" s="136"/>
      <c r="C11" s="145"/>
      <c r="D11" s="14" t="s">
        <v>53</v>
      </c>
      <c r="E11" s="7" t="s">
        <v>194</v>
      </c>
      <c r="F11" s="15">
        <v>100</v>
      </c>
      <c r="G11" s="15">
        <v>100</v>
      </c>
      <c r="H11" s="8">
        <f t="shared" si="0"/>
        <v>1</v>
      </c>
      <c r="I11" s="130"/>
      <c r="J11" s="132"/>
    </row>
    <row r="12" spans="1:10" s="20" customFormat="1" ht="35.1" customHeight="1" x14ac:dyDescent="0.25">
      <c r="A12" s="19" t="s">
        <v>62</v>
      </c>
      <c r="B12" s="140" t="s">
        <v>176</v>
      </c>
      <c r="C12" s="143" t="s">
        <v>92</v>
      </c>
      <c r="D12" s="14" t="s">
        <v>52</v>
      </c>
      <c r="E12" s="7" t="s">
        <v>81</v>
      </c>
      <c r="F12" s="70">
        <f>'Часть 2 Показат. объема'!G10</f>
        <v>2800</v>
      </c>
      <c r="G12" s="70">
        <f>'Часть 2 Показат. объема'!H10</f>
        <v>815</v>
      </c>
      <c r="H12" s="8">
        <f t="shared" si="0"/>
        <v>0.29107142857142859</v>
      </c>
      <c r="I12" s="141" t="s">
        <v>223</v>
      </c>
      <c r="J12" s="142" t="s">
        <v>201</v>
      </c>
    </row>
    <row r="13" spans="1:10" s="20" customFormat="1" ht="31.5" x14ac:dyDescent="0.25">
      <c r="A13" s="19" t="s">
        <v>63</v>
      </c>
      <c r="B13" s="135"/>
      <c r="C13" s="144"/>
      <c r="D13" s="14" t="s">
        <v>55</v>
      </c>
      <c r="E13" s="7" t="s">
        <v>194</v>
      </c>
      <c r="F13" s="15">
        <v>90</v>
      </c>
      <c r="G13" s="15">
        <v>90</v>
      </c>
      <c r="H13" s="8">
        <f t="shared" si="0"/>
        <v>1</v>
      </c>
      <c r="I13" s="129"/>
      <c r="J13" s="131"/>
    </row>
    <row r="14" spans="1:10" s="20" customFormat="1" ht="37.5" customHeight="1" x14ac:dyDescent="0.25">
      <c r="A14" s="19" t="s">
        <v>64</v>
      </c>
      <c r="B14" s="136"/>
      <c r="C14" s="145"/>
      <c r="D14" s="14" t="s">
        <v>53</v>
      </c>
      <c r="E14" s="7" t="s">
        <v>194</v>
      </c>
      <c r="F14" s="15">
        <v>100</v>
      </c>
      <c r="G14" s="15">
        <v>100</v>
      </c>
      <c r="H14" s="8">
        <f t="shared" si="0"/>
        <v>1</v>
      </c>
      <c r="I14" s="130"/>
      <c r="J14" s="132"/>
    </row>
    <row r="15" spans="1:10" s="20" customFormat="1" ht="35.1" customHeight="1" x14ac:dyDescent="0.25">
      <c r="A15" s="18" t="s">
        <v>65</v>
      </c>
      <c r="B15" s="140" t="s">
        <v>176</v>
      </c>
      <c r="C15" s="143" t="s">
        <v>92</v>
      </c>
      <c r="D15" s="14" t="s">
        <v>58</v>
      </c>
      <c r="E15" s="7" t="s">
        <v>81</v>
      </c>
      <c r="F15" s="70">
        <f>'Часть 2 Показат. объема'!G11</f>
        <v>50</v>
      </c>
      <c r="G15" s="70">
        <f>'Часть 2 Показат. объема'!H11</f>
        <v>28</v>
      </c>
      <c r="H15" s="8">
        <f t="shared" si="0"/>
        <v>0.56000000000000005</v>
      </c>
      <c r="I15" s="141" t="s">
        <v>152</v>
      </c>
      <c r="J15" s="142" t="s">
        <v>201</v>
      </c>
    </row>
    <row r="16" spans="1:10" s="20" customFormat="1" ht="31.5" x14ac:dyDescent="0.25">
      <c r="A16" s="19" t="s">
        <v>66</v>
      </c>
      <c r="B16" s="135"/>
      <c r="C16" s="144"/>
      <c r="D16" s="14" t="s">
        <v>55</v>
      </c>
      <c r="E16" s="7" t="s">
        <v>194</v>
      </c>
      <c r="F16" s="15">
        <v>90</v>
      </c>
      <c r="G16" s="15">
        <v>90</v>
      </c>
      <c r="H16" s="8">
        <f t="shared" si="0"/>
        <v>1</v>
      </c>
      <c r="I16" s="129"/>
      <c r="J16" s="131"/>
    </row>
    <row r="17" spans="1:10" s="20" customFormat="1" ht="36.75" customHeight="1" x14ac:dyDescent="0.25">
      <c r="A17" s="18" t="s">
        <v>67</v>
      </c>
      <c r="B17" s="136"/>
      <c r="C17" s="145"/>
      <c r="D17" s="14" t="s">
        <v>53</v>
      </c>
      <c r="E17" s="7" t="s">
        <v>194</v>
      </c>
      <c r="F17" s="15">
        <v>100</v>
      </c>
      <c r="G17" s="15">
        <v>100</v>
      </c>
      <c r="H17" s="8">
        <f t="shared" si="0"/>
        <v>1</v>
      </c>
      <c r="I17" s="130"/>
      <c r="J17" s="132"/>
    </row>
    <row r="18" spans="1:10" s="20" customFormat="1" ht="36.75" customHeight="1" x14ac:dyDescent="0.25">
      <c r="A18" s="18" t="s">
        <v>112</v>
      </c>
      <c r="B18" s="140" t="s">
        <v>178</v>
      </c>
      <c r="C18" s="143" t="s">
        <v>93</v>
      </c>
      <c r="D18" s="14" t="s">
        <v>52</v>
      </c>
      <c r="E18" s="7" t="s">
        <v>81</v>
      </c>
      <c r="F18" s="70">
        <f>'Часть 2 Показат. объема'!G12</f>
        <v>6000</v>
      </c>
      <c r="G18" s="70">
        <f>'Часть 2 Показат. объема'!H12</f>
        <v>1966</v>
      </c>
      <c r="H18" s="8">
        <f t="shared" ref="H18:H29" si="1">G18/F18</f>
        <v>0.32766666666666666</v>
      </c>
      <c r="I18" s="141" t="s">
        <v>152</v>
      </c>
      <c r="J18" s="142" t="s">
        <v>207</v>
      </c>
    </row>
    <row r="19" spans="1:10" s="20" customFormat="1" ht="45" customHeight="1" x14ac:dyDescent="0.25">
      <c r="A19" s="18" t="s">
        <v>113</v>
      </c>
      <c r="B19" s="135"/>
      <c r="C19" s="144"/>
      <c r="D19" s="14" t="s">
        <v>55</v>
      </c>
      <c r="E19" s="7" t="s">
        <v>194</v>
      </c>
      <c r="F19" s="15">
        <v>90</v>
      </c>
      <c r="G19" s="15">
        <v>95</v>
      </c>
      <c r="H19" s="8">
        <f t="shared" si="1"/>
        <v>1.0555555555555556</v>
      </c>
      <c r="I19" s="129"/>
      <c r="J19" s="131"/>
    </row>
    <row r="20" spans="1:10" s="20" customFormat="1" ht="36.75" customHeight="1" x14ac:dyDescent="0.25">
      <c r="A20" s="18" t="s">
        <v>114</v>
      </c>
      <c r="B20" s="136"/>
      <c r="C20" s="145"/>
      <c r="D20" s="14" t="s">
        <v>53</v>
      </c>
      <c r="E20" s="7" t="s">
        <v>194</v>
      </c>
      <c r="F20" s="15">
        <v>100</v>
      </c>
      <c r="G20" s="15">
        <v>100</v>
      </c>
      <c r="H20" s="8">
        <f t="shared" si="1"/>
        <v>1</v>
      </c>
      <c r="I20" s="130"/>
      <c r="J20" s="132"/>
    </row>
    <row r="21" spans="1:10" s="20" customFormat="1" ht="36.75" customHeight="1" x14ac:dyDescent="0.25">
      <c r="A21" s="91" t="s">
        <v>166</v>
      </c>
      <c r="B21" s="140" t="s">
        <v>178</v>
      </c>
      <c r="C21" s="143" t="s">
        <v>93</v>
      </c>
      <c r="D21" s="14" t="s">
        <v>58</v>
      </c>
      <c r="E21" s="7" t="s">
        <v>81</v>
      </c>
      <c r="F21" s="70">
        <f>'Часть 2 Показат. объема'!G13</f>
        <v>1000</v>
      </c>
      <c r="G21" s="70">
        <f>'Часть 2 Показат. объема'!H13</f>
        <v>814</v>
      </c>
      <c r="H21" s="8">
        <f t="shared" si="1"/>
        <v>0.81399999999999995</v>
      </c>
      <c r="I21" s="141" t="s">
        <v>222</v>
      </c>
      <c r="J21" s="142" t="s">
        <v>207</v>
      </c>
    </row>
    <row r="22" spans="1:10" s="20" customFormat="1" ht="45" customHeight="1" x14ac:dyDescent="0.25">
      <c r="A22" s="18" t="s">
        <v>115</v>
      </c>
      <c r="B22" s="135"/>
      <c r="C22" s="144"/>
      <c r="D22" s="14" t="s">
        <v>55</v>
      </c>
      <c r="E22" s="7" t="s">
        <v>194</v>
      </c>
      <c r="F22" s="15">
        <v>90</v>
      </c>
      <c r="G22" s="15">
        <v>95</v>
      </c>
      <c r="H22" s="8">
        <f t="shared" si="1"/>
        <v>1.0555555555555556</v>
      </c>
      <c r="I22" s="129"/>
      <c r="J22" s="131"/>
    </row>
    <row r="23" spans="1:10" s="20" customFormat="1" ht="36.75" customHeight="1" x14ac:dyDescent="0.25">
      <c r="A23" s="18" t="s">
        <v>116</v>
      </c>
      <c r="B23" s="136"/>
      <c r="C23" s="145"/>
      <c r="D23" s="14" t="s">
        <v>53</v>
      </c>
      <c r="E23" s="7" t="s">
        <v>194</v>
      </c>
      <c r="F23" s="15">
        <v>100</v>
      </c>
      <c r="G23" s="15">
        <v>100</v>
      </c>
      <c r="H23" s="8">
        <f t="shared" si="1"/>
        <v>1</v>
      </c>
      <c r="I23" s="130"/>
      <c r="J23" s="132"/>
    </row>
    <row r="24" spans="1:10" s="20" customFormat="1" ht="36.75" customHeight="1" x14ac:dyDescent="0.25">
      <c r="A24" s="18" t="s">
        <v>117</v>
      </c>
      <c r="B24" s="140" t="s">
        <v>177</v>
      </c>
      <c r="C24" s="143" t="s">
        <v>189</v>
      </c>
      <c r="D24" s="14" t="s">
        <v>52</v>
      </c>
      <c r="E24" s="7" t="s">
        <v>81</v>
      </c>
      <c r="F24" s="70">
        <f>'Часть 2 Показат. объема'!G14</f>
        <v>90</v>
      </c>
      <c r="G24" s="70">
        <f>'Часть 2 Показат. объема'!H14</f>
        <v>35</v>
      </c>
      <c r="H24" s="8">
        <f t="shared" si="1"/>
        <v>0.3888888888888889</v>
      </c>
      <c r="I24" s="141" t="s">
        <v>152</v>
      </c>
      <c r="J24" s="146" t="s">
        <v>199</v>
      </c>
    </row>
    <row r="25" spans="1:10" s="20" customFormat="1" ht="36.75" customHeight="1" x14ac:dyDescent="0.25">
      <c r="A25" s="18" t="s">
        <v>118</v>
      </c>
      <c r="B25" s="135"/>
      <c r="C25" s="144"/>
      <c r="D25" s="14" t="s">
        <v>55</v>
      </c>
      <c r="E25" s="7" t="s">
        <v>194</v>
      </c>
      <c r="F25" s="15">
        <v>90</v>
      </c>
      <c r="G25" s="15">
        <v>100</v>
      </c>
      <c r="H25" s="8">
        <f t="shared" si="1"/>
        <v>1.1111111111111112</v>
      </c>
      <c r="I25" s="129"/>
      <c r="J25" s="146"/>
    </row>
    <row r="26" spans="1:10" s="20" customFormat="1" ht="36.75" customHeight="1" x14ac:dyDescent="0.25">
      <c r="A26" s="18" t="s">
        <v>119</v>
      </c>
      <c r="B26" s="136"/>
      <c r="C26" s="145"/>
      <c r="D26" s="14" t="s">
        <v>53</v>
      </c>
      <c r="E26" s="7" t="s">
        <v>194</v>
      </c>
      <c r="F26" s="15">
        <v>100</v>
      </c>
      <c r="G26" s="15">
        <v>100</v>
      </c>
      <c r="H26" s="8">
        <f t="shared" si="1"/>
        <v>1</v>
      </c>
      <c r="I26" s="130"/>
      <c r="J26" s="146"/>
    </row>
    <row r="27" spans="1:10" s="20" customFormat="1" ht="36.75" customHeight="1" x14ac:dyDescent="0.25">
      <c r="A27" s="18" t="s">
        <v>120</v>
      </c>
      <c r="B27" s="140" t="s">
        <v>177</v>
      </c>
      <c r="C27" s="143" t="s">
        <v>189</v>
      </c>
      <c r="D27" s="14" t="s">
        <v>58</v>
      </c>
      <c r="E27" s="7" t="s">
        <v>81</v>
      </c>
      <c r="F27" s="70">
        <f>'Часть 2 Показат. объема'!G15</f>
        <v>30</v>
      </c>
      <c r="G27" s="70">
        <f>'Часть 2 Показат. объема'!H15</f>
        <v>12</v>
      </c>
      <c r="H27" s="8">
        <f t="shared" si="1"/>
        <v>0.4</v>
      </c>
      <c r="I27" s="141" t="s">
        <v>152</v>
      </c>
      <c r="J27" s="146" t="s">
        <v>199</v>
      </c>
    </row>
    <row r="28" spans="1:10" s="20" customFormat="1" ht="36.75" customHeight="1" x14ac:dyDescent="0.25">
      <c r="A28" s="18" t="s">
        <v>121</v>
      </c>
      <c r="B28" s="135"/>
      <c r="C28" s="144"/>
      <c r="D28" s="14" t="s">
        <v>55</v>
      </c>
      <c r="E28" s="7" t="s">
        <v>194</v>
      </c>
      <c r="F28" s="15">
        <v>90</v>
      </c>
      <c r="G28" s="15">
        <v>100</v>
      </c>
      <c r="H28" s="8">
        <f t="shared" si="1"/>
        <v>1.1111111111111112</v>
      </c>
      <c r="I28" s="129"/>
      <c r="J28" s="146"/>
    </row>
    <row r="29" spans="1:10" s="20" customFormat="1" ht="36.75" customHeight="1" x14ac:dyDescent="0.25">
      <c r="A29" s="18" t="s">
        <v>122</v>
      </c>
      <c r="B29" s="136"/>
      <c r="C29" s="145"/>
      <c r="D29" s="14" t="s">
        <v>53</v>
      </c>
      <c r="E29" s="7" t="s">
        <v>194</v>
      </c>
      <c r="F29" s="15">
        <v>100</v>
      </c>
      <c r="G29" s="15">
        <v>100</v>
      </c>
      <c r="H29" s="8">
        <f t="shared" si="1"/>
        <v>1</v>
      </c>
      <c r="I29" s="130"/>
      <c r="J29" s="146"/>
    </row>
    <row r="30" spans="1:10" s="20" customFormat="1" ht="39.950000000000003" customHeight="1" x14ac:dyDescent="0.25">
      <c r="A30" s="18" t="s">
        <v>123</v>
      </c>
      <c r="B30" s="140" t="s">
        <v>193</v>
      </c>
      <c r="C30" s="143" t="s">
        <v>68</v>
      </c>
      <c r="D30" s="14" t="s">
        <v>69</v>
      </c>
      <c r="E30" s="7" t="s">
        <v>70</v>
      </c>
      <c r="F30" s="70">
        <f>'Часть 2 Показат. объема'!G16</f>
        <v>1800</v>
      </c>
      <c r="G30" s="70">
        <f>'Часть 2 Показат. объема'!H16</f>
        <v>620</v>
      </c>
      <c r="H30" s="8">
        <f t="shared" si="0"/>
        <v>0.34444444444444444</v>
      </c>
      <c r="I30" s="141" t="s">
        <v>209</v>
      </c>
      <c r="J30" s="142" t="s">
        <v>208</v>
      </c>
    </row>
    <row r="31" spans="1:10" s="20" customFormat="1" ht="60" customHeight="1" x14ac:dyDescent="0.25">
      <c r="A31" s="18" t="s">
        <v>125</v>
      </c>
      <c r="B31" s="135"/>
      <c r="C31" s="144"/>
      <c r="D31" s="14" t="s">
        <v>55</v>
      </c>
      <c r="E31" s="7" t="s">
        <v>194</v>
      </c>
      <c r="F31" s="15">
        <v>90</v>
      </c>
      <c r="G31" s="15">
        <v>95</v>
      </c>
      <c r="H31" s="8">
        <f t="shared" si="0"/>
        <v>1.0555555555555556</v>
      </c>
      <c r="I31" s="129"/>
      <c r="J31" s="131"/>
    </row>
    <row r="32" spans="1:10" s="20" customFormat="1" ht="51.75" customHeight="1" x14ac:dyDescent="0.25">
      <c r="A32" s="18" t="s">
        <v>124</v>
      </c>
      <c r="B32" s="136"/>
      <c r="C32" s="145"/>
      <c r="D32" s="14" t="s">
        <v>53</v>
      </c>
      <c r="E32" s="7" t="s">
        <v>194</v>
      </c>
      <c r="F32" s="15">
        <v>100</v>
      </c>
      <c r="G32" s="15">
        <v>100</v>
      </c>
      <c r="H32" s="8">
        <f t="shared" si="0"/>
        <v>1</v>
      </c>
      <c r="I32" s="130"/>
      <c r="J32" s="132"/>
    </row>
    <row r="33" spans="1:10" s="20" customFormat="1" ht="35.1" customHeight="1" x14ac:dyDescent="0.25">
      <c r="A33" s="18" t="s">
        <v>126</v>
      </c>
      <c r="B33" s="140" t="s">
        <v>172</v>
      </c>
      <c r="C33" s="143" t="s">
        <v>71</v>
      </c>
      <c r="D33" s="14" t="s">
        <v>79</v>
      </c>
      <c r="E33" s="7" t="s">
        <v>82</v>
      </c>
      <c r="F33" s="70">
        <f>'Часть 2 Показат. объема'!G17</f>
        <v>5250</v>
      </c>
      <c r="G33" s="70">
        <f>'Часть 2 Показат. объема'!H17</f>
        <v>2243</v>
      </c>
      <c r="H33" s="8">
        <f t="shared" si="0"/>
        <v>0.42723809523809525</v>
      </c>
      <c r="I33" s="141" t="s">
        <v>220</v>
      </c>
      <c r="J33" s="142" t="s">
        <v>200</v>
      </c>
    </row>
    <row r="34" spans="1:10" s="20" customFormat="1" ht="31.5" x14ac:dyDescent="0.25">
      <c r="A34" s="18" t="s">
        <v>127</v>
      </c>
      <c r="B34" s="135"/>
      <c r="C34" s="144"/>
      <c r="D34" s="14" t="s">
        <v>55</v>
      </c>
      <c r="E34" s="7" t="s">
        <v>194</v>
      </c>
      <c r="F34" s="15">
        <v>90</v>
      </c>
      <c r="G34" s="15">
        <v>90</v>
      </c>
      <c r="H34" s="8">
        <f t="shared" si="0"/>
        <v>1</v>
      </c>
      <c r="I34" s="129"/>
      <c r="J34" s="131"/>
    </row>
    <row r="35" spans="1:10" s="20" customFormat="1" ht="39" customHeight="1" x14ac:dyDescent="0.25">
      <c r="A35" s="18" t="s">
        <v>128</v>
      </c>
      <c r="B35" s="136"/>
      <c r="C35" s="145"/>
      <c r="D35" s="14" t="s">
        <v>53</v>
      </c>
      <c r="E35" s="7" t="s">
        <v>194</v>
      </c>
      <c r="F35" s="15">
        <v>100</v>
      </c>
      <c r="G35" s="15">
        <v>100</v>
      </c>
      <c r="H35" s="8">
        <f t="shared" si="0"/>
        <v>1</v>
      </c>
      <c r="I35" s="130"/>
      <c r="J35" s="132"/>
    </row>
    <row r="36" spans="1:10" s="20" customFormat="1" ht="35.1" customHeight="1" x14ac:dyDescent="0.25">
      <c r="A36" s="18" t="s">
        <v>129</v>
      </c>
      <c r="B36" s="140" t="s">
        <v>185</v>
      </c>
      <c r="C36" s="143" t="s">
        <v>72</v>
      </c>
      <c r="D36" s="14" t="s">
        <v>78</v>
      </c>
      <c r="E36" s="39" t="s">
        <v>81</v>
      </c>
      <c r="F36" s="70">
        <f>'Часть 2 Показат. объема'!G18</f>
        <v>140</v>
      </c>
      <c r="G36" s="70">
        <f>'Часть 2 Показат. объема'!H18</f>
        <v>82</v>
      </c>
      <c r="H36" s="8">
        <f t="shared" si="0"/>
        <v>0.58571428571428574</v>
      </c>
      <c r="I36" s="141" t="s">
        <v>152</v>
      </c>
      <c r="J36" s="142" t="s">
        <v>206</v>
      </c>
    </row>
    <row r="37" spans="1:10" s="20" customFormat="1" ht="39.75" customHeight="1" x14ac:dyDescent="0.25">
      <c r="A37" s="18" t="s">
        <v>130</v>
      </c>
      <c r="B37" s="135"/>
      <c r="C37" s="144"/>
      <c r="D37" s="14" t="s">
        <v>55</v>
      </c>
      <c r="E37" s="7" t="s">
        <v>194</v>
      </c>
      <c r="F37" s="15">
        <v>90</v>
      </c>
      <c r="G37" s="15">
        <v>98</v>
      </c>
      <c r="H37" s="8">
        <f t="shared" si="0"/>
        <v>1.0888888888888888</v>
      </c>
      <c r="I37" s="129"/>
      <c r="J37" s="131"/>
    </row>
    <row r="38" spans="1:10" s="20" customFormat="1" ht="36" customHeight="1" x14ac:dyDescent="0.25">
      <c r="A38" s="18" t="s">
        <v>131</v>
      </c>
      <c r="B38" s="136"/>
      <c r="C38" s="145"/>
      <c r="D38" s="14" t="s">
        <v>53</v>
      </c>
      <c r="E38" s="7" t="s">
        <v>194</v>
      </c>
      <c r="F38" s="15">
        <v>100</v>
      </c>
      <c r="G38" s="15">
        <v>100</v>
      </c>
      <c r="H38" s="8">
        <f t="shared" si="0"/>
        <v>1</v>
      </c>
      <c r="I38" s="130"/>
      <c r="J38" s="132"/>
    </row>
    <row r="39" spans="1:10" s="20" customFormat="1" ht="35.1" customHeight="1" x14ac:dyDescent="0.25">
      <c r="A39" s="18" t="s">
        <v>132</v>
      </c>
      <c r="B39" s="140" t="s">
        <v>186</v>
      </c>
      <c r="C39" s="143" t="s">
        <v>190</v>
      </c>
      <c r="D39" s="14" t="s">
        <v>78</v>
      </c>
      <c r="E39" s="39" t="s">
        <v>81</v>
      </c>
      <c r="F39" s="70">
        <f>'Часть 2 Показат. объема'!G19</f>
        <v>260</v>
      </c>
      <c r="G39" s="70">
        <f>'Часть 2 Показат. объема'!H19</f>
        <v>103</v>
      </c>
      <c r="H39" s="8">
        <f t="shared" si="0"/>
        <v>0.39615384615384613</v>
      </c>
      <c r="I39" s="141" t="s">
        <v>152</v>
      </c>
      <c r="J39" s="142" t="s">
        <v>206</v>
      </c>
    </row>
    <row r="40" spans="1:10" s="20" customFormat="1" ht="31.5" x14ac:dyDescent="0.25">
      <c r="A40" s="18" t="s">
        <v>133</v>
      </c>
      <c r="B40" s="135"/>
      <c r="C40" s="144"/>
      <c r="D40" s="14" t="s">
        <v>55</v>
      </c>
      <c r="E40" s="7" t="s">
        <v>194</v>
      </c>
      <c r="F40" s="15">
        <v>90</v>
      </c>
      <c r="G40" s="15">
        <v>100</v>
      </c>
      <c r="H40" s="8">
        <f t="shared" si="0"/>
        <v>1.1111111111111112</v>
      </c>
      <c r="I40" s="129"/>
      <c r="J40" s="131"/>
    </row>
    <row r="41" spans="1:10" s="20" customFormat="1" ht="50.25" customHeight="1" x14ac:dyDescent="0.25">
      <c r="A41" s="18" t="s">
        <v>134</v>
      </c>
      <c r="B41" s="136"/>
      <c r="C41" s="145"/>
      <c r="D41" s="14" t="s">
        <v>53</v>
      </c>
      <c r="E41" s="7" t="s">
        <v>194</v>
      </c>
      <c r="F41" s="15">
        <v>100</v>
      </c>
      <c r="G41" s="15">
        <v>100</v>
      </c>
      <c r="H41" s="8">
        <f t="shared" si="0"/>
        <v>1</v>
      </c>
      <c r="I41" s="130"/>
      <c r="J41" s="132"/>
    </row>
    <row r="42" spans="1:10" s="20" customFormat="1" ht="35.1" customHeight="1" x14ac:dyDescent="0.25">
      <c r="A42" s="18" t="s">
        <v>135</v>
      </c>
      <c r="B42" s="140" t="s">
        <v>187</v>
      </c>
      <c r="C42" s="143" t="s">
        <v>73</v>
      </c>
      <c r="D42" s="14" t="s">
        <v>77</v>
      </c>
      <c r="E42" s="7" t="s">
        <v>81</v>
      </c>
      <c r="F42" s="71">
        <f>'Часть 2 Показат. объема'!G20</f>
        <v>12</v>
      </c>
      <c r="G42" s="71">
        <f>'Часть 2 Показат. объема'!H20</f>
        <v>9</v>
      </c>
      <c r="H42" s="8">
        <f t="shared" si="0"/>
        <v>0.75</v>
      </c>
      <c r="I42" s="141" t="s">
        <v>151</v>
      </c>
      <c r="J42" s="142" t="s">
        <v>200</v>
      </c>
    </row>
    <row r="43" spans="1:10" s="20" customFormat="1" ht="31.5" x14ac:dyDescent="0.25">
      <c r="A43" s="18" t="s">
        <v>136</v>
      </c>
      <c r="B43" s="135"/>
      <c r="C43" s="144"/>
      <c r="D43" s="14" t="s">
        <v>55</v>
      </c>
      <c r="E43" s="7" t="s">
        <v>194</v>
      </c>
      <c r="F43" s="50">
        <v>90</v>
      </c>
      <c r="G43" s="15">
        <v>95</v>
      </c>
      <c r="H43" s="8">
        <f t="shared" si="0"/>
        <v>1.0555555555555556</v>
      </c>
      <c r="I43" s="129"/>
      <c r="J43" s="131"/>
    </row>
    <row r="44" spans="1:10" s="20" customFormat="1" ht="39.75" customHeight="1" x14ac:dyDescent="0.25">
      <c r="A44" s="18" t="s">
        <v>137</v>
      </c>
      <c r="B44" s="136"/>
      <c r="C44" s="145"/>
      <c r="D44" s="14" t="s">
        <v>53</v>
      </c>
      <c r="E44" s="7" t="s">
        <v>194</v>
      </c>
      <c r="F44" s="50">
        <v>100</v>
      </c>
      <c r="G44" s="15">
        <v>100</v>
      </c>
      <c r="H44" s="8">
        <f t="shared" si="0"/>
        <v>1</v>
      </c>
      <c r="I44" s="130"/>
      <c r="J44" s="132"/>
    </row>
    <row r="45" spans="1:10" s="20" customFormat="1" ht="35.1" customHeight="1" x14ac:dyDescent="0.25">
      <c r="A45" s="18" t="s">
        <v>138</v>
      </c>
      <c r="B45" s="140" t="s">
        <v>191</v>
      </c>
      <c r="C45" s="143" t="s">
        <v>74</v>
      </c>
      <c r="D45" s="14" t="s">
        <v>76</v>
      </c>
      <c r="E45" s="7" t="s">
        <v>70</v>
      </c>
      <c r="F45" s="70">
        <f>'Часть 2 Показат. объема'!G21</f>
        <v>2400</v>
      </c>
      <c r="G45" s="70">
        <f>'Часть 2 Показат. объема'!H21</f>
        <v>1227</v>
      </c>
      <c r="H45" s="8">
        <f t="shared" si="0"/>
        <v>0.51124999999999998</v>
      </c>
      <c r="I45" s="141" t="s">
        <v>152</v>
      </c>
      <c r="J45" s="142" t="s">
        <v>153</v>
      </c>
    </row>
    <row r="46" spans="1:10" s="20" customFormat="1" ht="31.5" x14ac:dyDescent="0.25">
      <c r="A46" s="18" t="s">
        <v>139</v>
      </c>
      <c r="B46" s="135"/>
      <c r="C46" s="144"/>
      <c r="D46" s="14" t="s">
        <v>55</v>
      </c>
      <c r="E46" s="7" t="s">
        <v>194</v>
      </c>
      <c r="F46" s="15">
        <v>90</v>
      </c>
      <c r="G46" s="15">
        <v>90.7</v>
      </c>
      <c r="H46" s="8">
        <f t="shared" si="0"/>
        <v>1.0077777777777779</v>
      </c>
      <c r="I46" s="129"/>
      <c r="J46" s="131"/>
    </row>
    <row r="47" spans="1:10" s="20" customFormat="1" ht="54.75" customHeight="1" x14ac:dyDescent="0.25">
      <c r="A47" s="18" t="s">
        <v>140</v>
      </c>
      <c r="B47" s="136"/>
      <c r="C47" s="145"/>
      <c r="D47" s="14" t="s">
        <v>53</v>
      </c>
      <c r="E47" s="7" t="s">
        <v>194</v>
      </c>
      <c r="F47" s="15">
        <v>100</v>
      </c>
      <c r="G47" s="15">
        <v>100</v>
      </c>
      <c r="H47" s="8">
        <f t="shared" si="0"/>
        <v>1</v>
      </c>
      <c r="I47" s="130"/>
      <c r="J47" s="132"/>
    </row>
    <row r="48" spans="1:10" s="20" customFormat="1" ht="35.1" customHeight="1" x14ac:dyDescent="0.25">
      <c r="A48" s="18" t="s">
        <v>142</v>
      </c>
      <c r="B48" s="140" t="s">
        <v>192</v>
      </c>
      <c r="C48" s="137" t="s">
        <v>198</v>
      </c>
      <c r="D48" s="14" t="s">
        <v>78</v>
      </c>
      <c r="E48" s="16" t="s">
        <v>80</v>
      </c>
      <c r="F48" s="70">
        <f>'Часть 2 Показат. объема'!G22</f>
        <v>70</v>
      </c>
      <c r="G48" s="70">
        <f>'Часть 2 Показат. объема'!H22</f>
        <v>27</v>
      </c>
      <c r="H48" s="8">
        <f>G48/F48</f>
        <v>0.38571428571428573</v>
      </c>
      <c r="I48" s="141" t="s">
        <v>221</v>
      </c>
      <c r="J48" s="142" t="s">
        <v>200</v>
      </c>
    </row>
    <row r="49" spans="1:10" s="20" customFormat="1" ht="31.5" x14ac:dyDescent="0.25">
      <c r="A49" s="18" t="s">
        <v>143</v>
      </c>
      <c r="B49" s="135"/>
      <c r="C49" s="139"/>
      <c r="D49" s="14" t="s">
        <v>55</v>
      </c>
      <c r="E49" s="7" t="s">
        <v>194</v>
      </c>
      <c r="F49" s="50">
        <v>90</v>
      </c>
      <c r="G49" s="15">
        <v>90</v>
      </c>
      <c r="H49" s="8">
        <f t="shared" ref="H49:H50" si="2">G49/F49</f>
        <v>1</v>
      </c>
      <c r="I49" s="129"/>
      <c r="J49" s="131"/>
    </row>
    <row r="50" spans="1:10" s="20" customFormat="1" ht="31.5" x14ac:dyDescent="0.25">
      <c r="A50" s="18" t="s">
        <v>144</v>
      </c>
      <c r="B50" s="136"/>
      <c r="C50" s="138"/>
      <c r="D50" s="14" t="s">
        <v>53</v>
      </c>
      <c r="E50" s="7" t="s">
        <v>194</v>
      </c>
      <c r="F50" s="50">
        <v>100</v>
      </c>
      <c r="G50" s="15">
        <v>100</v>
      </c>
      <c r="H50" s="8">
        <f t="shared" si="2"/>
        <v>1</v>
      </c>
      <c r="I50" s="130"/>
      <c r="J50" s="132"/>
    </row>
    <row r="51" spans="1:10" s="20" customFormat="1" ht="30" customHeight="1" x14ac:dyDescent="0.25">
      <c r="A51" s="59"/>
      <c r="B51" s="99"/>
      <c r="C51" s="60"/>
      <c r="D51" s="61"/>
      <c r="E51" s="62"/>
      <c r="F51" s="63"/>
      <c r="G51" s="63"/>
      <c r="H51" s="64"/>
      <c r="I51" s="69"/>
      <c r="J51" s="69"/>
    </row>
    <row r="52" spans="1:10" s="20" customFormat="1" ht="35.1" customHeight="1" x14ac:dyDescent="0.25">
      <c r="A52" s="18" t="s">
        <v>145</v>
      </c>
      <c r="B52" s="135" t="s">
        <v>180</v>
      </c>
      <c r="C52" s="137" t="s">
        <v>195</v>
      </c>
      <c r="D52" s="14" t="s">
        <v>75</v>
      </c>
      <c r="E52" s="17" t="s">
        <v>80</v>
      </c>
      <c r="F52" s="72">
        <f>'Часть 2 Показат. объема'!G24</f>
        <v>265</v>
      </c>
      <c r="G52" s="72">
        <f>'Часть 2 Показат. объема'!H24</f>
        <v>153</v>
      </c>
      <c r="H52" s="8">
        <f>G52/F52</f>
        <v>0.57735849056603772</v>
      </c>
      <c r="I52" s="129"/>
      <c r="J52" s="131" t="s">
        <v>203</v>
      </c>
    </row>
    <row r="53" spans="1:10" s="20" customFormat="1" ht="31.5" x14ac:dyDescent="0.25">
      <c r="A53" s="18" t="s">
        <v>146</v>
      </c>
      <c r="B53" s="136"/>
      <c r="C53" s="138"/>
      <c r="D53" s="14" t="s">
        <v>53</v>
      </c>
      <c r="E53" s="16" t="s">
        <v>194</v>
      </c>
      <c r="F53" s="51">
        <v>100</v>
      </c>
      <c r="G53" s="15">
        <v>100</v>
      </c>
      <c r="H53" s="8">
        <f t="shared" ref="H53" si="3">G53/F53</f>
        <v>1</v>
      </c>
      <c r="I53" s="130"/>
      <c r="J53" s="132"/>
    </row>
    <row r="54" spans="1:10" s="20" customFormat="1" ht="69" customHeight="1" x14ac:dyDescent="0.25">
      <c r="A54" s="18" t="s">
        <v>167</v>
      </c>
      <c r="B54" s="100" t="s">
        <v>180</v>
      </c>
      <c r="C54" s="104" t="s">
        <v>179</v>
      </c>
      <c r="D54" s="14" t="s">
        <v>108</v>
      </c>
      <c r="E54" s="16" t="s">
        <v>141</v>
      </c>
      <c r="F54" s="70">
        <f>'Часть 2 Показат. объема'!G25</f>
        <v>4000</v>
      </c>
      <c r="G54" s="70">
        <f>'Часть 2 Показат. объема'!H25</f>
        <v>1048</v>
      </c>
      <c r="H54" s="8">
        <f>G54/F54</f>
        <v>0.26200000000000001</v>
      </c>
      <c r="I54" s="103" t="s">
        <v>197</v>
      </c>
      <c r="J54" s="40" t="s">
        <v>204</v>
      </c>
    </row>
    <row r="55" spans="1:10" s="20" customFormat="1" ht="56.25" customHeight="1" x14ac:dyDescent="0.25">
      <c r="A55" s="18" t="s">
        <v>168</v>
      </c>
      <c r="B55" s="133" t="s">
        <v>180</v>
      </c>
      <c r="C55" s="134" t="s">
        <v>183</v>
      </c>
      <c r="D55" s="14" t="s">
        <v>109</v>
      </c>
      <c r="E55" s="16" t="s">
        <v>80</v>
      </c>
      <c r="F55" s="70">
        <f>'Часть 2 Показат. объема'!G26</f>
        <v>400</v>
      </c>
      <c r="G55" s="70">
        <f>'Часть 2 Показат. объема'!H26</f>
        <v>284</v>
      </c>
      <c r="H55" s="8">
        <f>G55/F55</f>
        <v>0.71</v>
      </c>
      <c r="I55" s="129"/>
      <c r="J55" s="131" t="s">
        <v>205</v>
      </c>
    </row>
    <row r="56" spans="1:10" s="20" customFormat="1" ht="50.1" customHeight="1" x14ac:dyDescent="0.25">
      <c r="A56" s="18" t="s">
        <v>169</v>
      </c>
      <c r="B56" s="133"/>
      <c r="C56" s="134"/>
      <c r="D56" s="14" t="s">
        <v>55</v>
      </c>
      <c r="E56" s="16" t="s">
        <v>54</v>
      </c>
      <c r="F56" s="15">
        <v>90</v>
      </c>
      <c r="G56" s="15">
        <v>88</v>
      </c>
      <c r="H56" s="8">
        <f>G56/F56</f>
        <v>0.97777777777777775</v>
      </c>
      <c r="I56" s="130"/>
      <c r="J56" s="132"/>
    </row>
    <row r="57" spans="1:10" s="65" customFormat="1" ht="33" customHeight="1" x14ac:dyDescent="0.25">
      <c r="A57" s="107" t="s">
        <v>45</v>
      </c>
      <c r="B57" s="147" t="s">
        <v>46</v>
      </c>
      <c r="C57" s="148"/>
      <c r="D57" s="149"/>
      <c r="E57" s="82" t="s">
        <v>47</v>
      </c>
      <c r="F57" s="83">
        <f>F6+F9+F12+F15+F30+F18+F21+F33+F36+F39+F42+F45+F52+F54+F55+F48</f>
        <v>27397</v>
      </c>
      <c r="G57" s="83">
        <f>G6+G9+G12+G15+G30+G18+G21+G33+G36+G39+G42+G45+G52+G54+G55+G48</f>
        <v>10935</v>
      </c>
      <c r="H57" s="105">
        <f>G57/F57</f>
        <v>0.39913129174727158</v>
      </c>
      <c r="I57" s="106" t="s">
        <v>47</v>
      </c>
      <c r="J57" s="106"/>
    </row>
  </sheetData>
  <mergeCells count="70">
    <mergeCell ref="J12:J14"/>
    <mergeCell ref="B12:B14"/>
    <mergeCell ref="C12:C14"/>
    <mergeCell ref="I12:I14"/>
    <mergeCell ref="B57:D57"/>
    <mergeCell ref="J15:J17"/>
    <mergeCell ref="B15:B17"/>
    <mergeCell ref="J21:J23"/>
    <mergeCell ref="I18:I20"/>
    <mergeCell ref="J18:J20"/>
    <mergeCell ref="I15:I17"/>
    <mergeCell ref="C15:C17"/>
    <mergeCell ref="B24:B26"/>
    <mergeCell ref="C24:C26"/>
    <mergeCell ref="I24:I26"/>
    <mergeCell ref="B18:B20"/>
    <mergeCell ref="J6:J8"/>
    <mergeCell ref="B9:B11"/>
    <mergeCell ref="C9:C11"/>
    <mergeCell ref="I9:I11"/>
    <mergeCell ref="J9:J11"/>
    <mergeCell ref="C30:C32"/>
    <mergeCell ref="A2:I2"/>
    <mergeCell ref="B6:B8"/>
    <mergeCell ref="C6:C8"/>
    <mergeCell ref="I6:I8"/>
    <mergeCell ref="C18:C20"/>
    <mergeCell ref="B21:B23"/>
    <mergeCell ref="C21:C23"/>
    <mergeCell ref="I21:I23"/>
    <mergeCell ref="J24:J26"/>
    <mergeCell ref="I33:I35"/>
    <mergeCell ref="J33:J35"/>
    <mergeCell ref="B36:B38"/>
    <mergeCell ref="C36:C38"/>
    <mergeCell ref="I36:I38"/>
    <mergeCell ref="J36:J38"/>
    <mergeCell ref="B33:B35"/>
    <mergeCell ref="C33:C35"/>
    <mergeCell ref="I30:I32"/>
    <mergeCell ref="J30:J32"/>
    <mergeCell ref="I27:I29"/>
    <mergeCell ref="J27:J29"/>
    <mergeCell ref="B27:B29"/>
    <mergeCell ref="C27:C29"/>
    <mergeCell ref="B30:B32"/>
    <mergeCell ref="C48:C50"/>
    <mergeCell ref="B48:B50"/>
    <mergeCell ref="I39:I41"/>
    <mergeCell ref="J39:J41"/>
    <mergeCell ref="B39:B41"/>
    <mergeCell ref="C39:C41"/>
    <mergeCell ref="J48:J50"/>
    <mergeCell ref="I48:I50"/>
    <mergeCell ref="B42:B44"/>
    <mergeCell ref="C42:C44"/>
    <mergeCell ref="I42:I44"/>
    <mergeCell ref="J42:J44"/>
    <mergeCell ref="I45:I47"/>
    <mergeCell ref="J45:J47"/>
    <mergeCell ref="B45:B47"/>
    <mergeCell ref="C45:C47"/>
    <mergeCell ref="I55:I56"/>
    <mergeCell ref="J55:J56"/>
    <mergeCell ref="B55:B56"/>
    <mergeCell ref="C55:C56"/>
    <mergeCell ref="B52:B53"/>
    <mergeCell ref="I52:I53"/>
    <mergeCell ref="J52:J53"/>
    <mergeCell ref="C52:C53"/>
  </mergeCells>
  <pageMargins left="0.39370078740157483" right="0.39370078740157483" top="0.98425196850393704" bottom="0.59055118110236227" header="0.19685039370078741" footer="0"/>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68" zoomScaleNormal="68" workbookViewId="0">
      <selection activeCell="G6" sqref="G6"/>
    </sheetView>
  </sheetViews>
  <sheetFormatPr defaultRowHeight="15" x14ac:dyDescent="0.25"/>
  <sheetData>
    <row r="1" ht="15" customHeight="1" x14ac:dyDescent="0.25"/>
    <row r="2" s="41" customFormat="1" ht="93" customHeight="1" x14ac:dyDescent="0.25"/>
    <row r="3" s="41" customFormat="1" ht="15" customHeight="1" x14ac:dyDescent="0.25"/>
    <row r="4" s="9" customFormat="1" ht="30" customHeight="1" x14ac:dyDescent="0.25"/>
    <row r="5" s="9" customFormat="1" ht="30" customHeight="1" x14ac:dyDescent="0.25"/>
    <row r="6" s="9" customFormat="1" ht="30" customHeight="1" x14ac:dyDescent="0.25"/>
    <row r="7" s="9" customFormat="1" ht="30" customHeight="1" x14ac:dyDescent="0.25"/>
    <row r="8" s="9" customFormat="1" ht="30" customHeight="1" x14ac:dyDescent="0.25"/>
    <row r="9" s="9" customFormat="1" ht="30" customHeight="1" x14ac:dyDescent="0.25"/>
    <row r="10" s="9" customFormat="1" ht="30" customHeight="1" x14ac:dyDescent="0.25"/>
    <row r="11" s="9" customFormat="1" ht="45" customHeight="1" x14ac:dyDescent="0.25"/>
    <row r="12" s="9" customFormat="1" ht="51" customHeight="1" x14ac:dyDescent="0.25"/>
    <row r="13" s="9" customFormat="1" ht="15" customHeight="1" x14ac:dyDescent="0.25"/>
    <row r="14" s="9" customFormat="1" ht="30" customHeight="1" x14ac:dyDescent="0.25"/>
    <row r="15" s="9" customFormat="1" ht="15" customHeight="1" x14ac:dyDescent="0.25"/>
    <row r="16" s="9" customFormat="1" ht="30" customHeight="1" x14ac:dyDescent="0.25"/>
    <row r="17" s="9" customFormat="1" ht="30" customHeight="1" x14ac:dyDescent="0.25"/>
    <row r="18" s="9" customFormat="1" ht="50.1" customHeight="1" x14ac:dyDescent="0.25"/>
    <row r="19" s="9" customFormat="1" ht="30" customHeight="1" x14ac:dyDescent="0.25"/>
    <row r="20" s="9" customFormat="1" ht="30" customHeight="1" x14ac:dyDescent="0.25"/>
    <row r="21" s="9" customFormat="1" ht="42.75" customHeight="1" x14ac:dyDescent="0.25"/>
    <row r="22" s="9" customFormat="1" ht="35.1" customHeight="1" x14ac:dyDescent="0.25"/>
    <row r="23" s="20" customFormat="1" ht="24.95" customHeight="1" x14ac:dyDescent="0.25"/>
  </sheetData>
  <pageMargins left="0.39370078740157483" right="0.39370078740157483" top="0.39370078740157483" bottom="0.39370078740157483" header="0.39370078740157483" footer="0"/>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lpstr>Лист1</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Лена Б. Чемакина</cp:lastModifiedBy>
  <cp:lastPrinted>2018-07-09T07:46:36Z</cp:lastPrinted>
  <dcterms:created xsi:type="dcterms:W3CDTF">2016-05-13T06:43:36Z</dcterms:created>
  <dcterms:modified xsi:type="dcterms:W3CDTF">2018-07-12T05:37:15Z</dcterms:modified>
</cp:coreProperties>
</file>